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drea.janosikova\Desktop\"/>
    </mc:Choice>
  </mc:AlternateContent>
  <xr:revisionPtr revIDLastSave="0" documentId="8_{E031FE58-7B01-481A-8DD4-323E313D9C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vod" sheetId="15" r:id="rId1"/>
    <sheet name="ToDo" sheetId="17" state="hidden" r:id="rId2"/>
    <sheet name="VstupySR" sheetId="2" r:id="rId3"/>
    <sheet name="VstupyUPJS" sheetId="4" r:id="rId4"/>
    <sheet name="Sumare" sheetId="3" r:id="rId5"/>
    <sheet name="Rozpis" sheetId="18" state="hidden" r:id="rId6"/>
    <sheet name="07711-mzdy" sheetId="5" r:id="rId7"/>
    <sheet name="07711-TaS" sheetId="11" r:id="rId8"/>
    <sheet name="07712-mzdy" sheetId="6" r:id="rId9"/>
    <sheet name="07712-TaS" sheetId="12" r:id="rId10"/>
    <sheet name="07712-DoktStip" sheetId="14" r:id="rId11"/>
    <sheet name="07715-Stip" sheetId="13" r:id="rId12"/>
    <sheet name="VER-22" sheetId="19" r:id="rId13"/>
    <sheet name="Excelentne" sheetId="20" r:id="rId14"/>
    <sheet name="KA" sheetId="7" state="hidden" r:id="rId15"/>
    <sheet name="Granty" sheetId="8" r:id="rId16"/>
    <sheet name="Vykony" sheetId="10" r:id="rId17"/>
  </sheets>
  <externalReferences>
    <externalReference r:id="rId18"/>
    <externalReference r:id="rId19"/>
    <externalReference r:id="rId20"/>
    <externalReference r:id="rId21"/>
  </externalReferences>
  <definedNames>
    <definedName name="_xlnm._FilterDatabase" localSheetId="11" hidden="1">'07715-Stip'!$H$3:$K$43</definedName>
    <definedName name="_xlnm._FilterDatabase" localSheetId="1" hidden="1">ToDo!$A$1:$D$35</definedName>
    <definedName name="aaa" hidden="1">3</definedName>
    <definedName name="Datum">VstupySR!$B$2</definedName>
    <definedName name="DatumASUPJS">VstupySR!#REF!</definedName>
    <definedName name="Fakulta">'[1]T5b-studenti'!$E:$E</definedName>
    <definedName name="K_KAP">'[2]T3-vstupy'!$C$133</definedName>
    <definedName name="K_ŠpP">'[2]T3-vstupy'!$C$57</definedName>
    <definedName name="K_TaS">'[2]T3-vstupy'!$C$82</definedName>
    <definedName name="K_VŠO">'[2]T3-vstupy'!$C$55</definedName>
    <definedName name="KKS_doc">'[2]T3-vstupy'!$C$44</definedName>
    <definedName name="KKS_ost">'[2]T3-vstupy'!$C$46</definedName>
    <definedName name="KKS_phd">'[2]T3-vstupy'!$C$45</definedName>
    <definedName name="KKS_prof">'[2]T3-vstupy'!$C$43</definedName>
    <definedName name="koef_kp">'[2]T2-KO'!$B$5:$K$26</definedName>
    <definedName name="koef_PV">'[2]T3-vstupy'!$C$78</definedName>
    <definedName name="koef_VV">'[2]T3-vstupy'!$C$79</definedName>
    <definedName name="kpn_ca_do">'[2]T2-KO'!$J$29</definedName>
    <definedName name="kpn_ca_nad">'[2]T2-KO'!$J$30</definedName>
    <definedName name="Kš_TaS">'[2]T3-vstupy'!$C$132</definedName>
    <definedName name="Kval">'[2]T3-vstupy'!$C$129</definedName>
    <definedName name="mot_odb">'[1]T5b-studenti'!$AO:$AO</definedName>
    <definedName name="motštip">'[2]T3-vstupy'!$C$135</definedName>
    <definedName name="motštip_ŠO">'[2]T3-vstupy'!$C$136</definedName>
    <definedName name="nefinanc">1</definedName>
    <definedName name="neuči_val">'[2]T3-vstupy'!$C$139</definedName>
    <definedName name="_xlnm.Print_Area" localSheetId="10">'07712-DoktStip'!$A$1:$J$37</definedName>
    <definedName name="_xlnm.Print_Area" localSheetId="4">Sumare!$A$1:$L$82</definedName>
    <definedName name="_xlnm.Print_Area" localSheetId="2">VstupySR!$A$5:$F$59</definedName>
    <definedName name="_xlnm.Print_Area" localSheetId="3">VstupyUPJS!$A$1:$E$33</definedName>
    <definedName name="_xlnm.Print_Area" localSheetId="16">Vykony!$A$1:$N$74</definedName>
    <definedName name="poistné">'[2]T3-vstupy'!$C$12</definedName>
    <definedName name="Pp_DrŠ_neúč">'[2]T3-vstupy'!$C$76</definedName>
    <definedName name="Pp_klinické_TaS">'[2]T3-vstupy'!$C$66</definedName>
    <definedName name="Pp_klinické_TaS_rozpísaný">'[2]T3-vstupy'!$C$67</definedName>
    <definedName name="Pp_Rozvoj_BD">'[2]T3-vstupy'!$C$20</definedName>
    <definedName name="Pp_Soc_BD">'[2]T3-vstupy'!$C$21</definedName>
    <definedName name="Pp_VaT_BD">'[2]T3-vstupy'!$C$16</definedName>
    <definedName name="Pp_VaV_Drš_úč">'[2]T3-vstupy'!$C$75</definedName>
    <definedName name="Pp_VaV_rozp">'[2]T3-vstupy'!$C$73</definedName>
    <definedName name="Pp_VaV_VVŠ">'[2]T3-vstupy'!$C$70</definedName>
    <definedName name="Pp_Vzdel_BD">'[2]T3-vstupy'!$C$15</definedName>
    <definedName name="Pp_Vzdel_mzdy">'[2]T3-vstupy'!$C$27</definedName>
    <definedName name="Pp_Vzdel_mzdy_spec">'[2]T3-vstupy'!$C$30</definedName>
    <definedName name="Pp_Vzdel_mzdy_specN">'[2]T3-vstupy'!$C$31</definedName>
    <definedName name="Pp_Vzdel_mzdy_výkon">'[2]T3-vstupy'!$C$36</definedName>
    <definedName name="Pp_Vzdel_mzdy_výkon_PV">'[2]T3-vstupy'!$C$37</definedName>
    <definedName name="Pp_Vzdel_mzdy_výkon_VV">'[2]T3-vstupy'!$C$39</definedName>
    <definedName name="Pp_Vzdel_spec_prax">'[2]T3-vstupy'!$C$53</definedName>
    <definedName name="Pp_Vzdel_TaS">'[2]T3-vstupy'!$C$47</definedName>
    <definedName name="Pp_Vzdel_TaS_ped">'[2]T3-vstupy'!$C$58</definedName>
    <definedName name="Pp_Vzdel_TaS_pedN">'[2]T3-vstupy'!$C$59</definedName>
    <definedName name="Pp_Vzdel_TaS_spec">'[2]T3-vstupy'!$C$60</definedName>
    <definedName name="Pp_Vzdel_TaS_specN">'[2]T3-vstupy'!$C$61</definedName>
    <definedName name="Pp_Vzdel_TaS_stav">'[2]T3-vstupy'!$C$48</definedName>
    <definedName name="Pp_Vzdel_TaS_výkon">'[2]T3-vstupy'!$C$62</definedName>
    <definedName name="Pp_Vzdel_TaS_výkon_PPŠ">'[2]T3-vstupy'!$C$65</definedName>
    <definedName name="Pp_Vzdel_TaS_výkon_PPŠ_a_zákl">'[2]T3-vstupy'!$C$64</definedName>
    <definedName name="Pp_Vzdel_TaS_výkon_PPŠ_KEN">'[2]T3-vstupy'!$C$63</definedName>
    <definedName name="Pp_Vzdel_TaS_zahr_granty">'[2]T3-vstupy'!$C$51</definedName>
    <definedName name="Pp_Vzdel_TaS_zákl">'[2]T3-vstupy'!$C$50</definedName>
    <definedName name="Pr_IV_BD">'[2]T3-vstupy'!$C$17</definedName>
    <definedName name="Pr_KD">'[2]T3-vstupy'!$C$8</definedName>
    <definedName name="Pr_KD_Rozvoj">'[2]T3-vstupy'!$C$10</definedName>
    <definedName name="Pr_KD_Stavby">'[2]T3-vstupy'!$C$11</definedName>
    <definedName name="Pr_KD_VaT">'[2]T3-vstupy'!$C$9</definedName>
    <definedName name="Pr_KEGA_BD">'[2]T3-vstupy'!$C$19</definedName>
    <definedName name="Pr_klinické">'[2]T3-vstupy'!$C$25</definedName>
    <definedName name="Pr_KŠ">'[2]T3-vstupy'!$C$105</definedName>
    <definedName name="Pr_KŠ_rozp">'[2]T3-vstupy'!$C$106</definedName>
    <definedName name="Pr_motštip_BD">'[2]T3-vstupy'!$C$23</definedName>
    <definedName name="Pr_socštip_BD">'[2]T3-vstupy'!$C$22</definedName>
    <definedName name="Pr_ŠD">'[2]T3-vstupy'!$C$103</definedName>
    <definedName name="Pr_ŠDaJKŠPC_BD">'[2]T3-vstupy'!$C$24</definedName>
    <definedName name="Pr_VaV_rezerva">'[2]T3-vstupy'!$C$77</definedName>
    <definedName name="Pr_VEGA_BD">'[2]T3-vstupy'!$C$18</definedName>
    <definedName name="Presun">'[2]T3-vstupy'!$C$155</definedName>
    <definedName name="prisp_na_ubyt_stud_SD">'[2]T3-vstupy'!$C$123</definedName>
    <definedName name="prisp_na_ubyt_stud_ZZ">'[2]T3-vstupy'!$C$124</definedName>
    <definedName name="prísp_zákl_prev">'[2]T3-vstupy'!$C$49</definedName>
    <definedName name="R_vvs_BD">'[2]T3-vstupy'!$C$6</definedName>
    <definedName name="R_vvs_VaT_BD">'[2]T3-vstupy'!$C$7</definedName>
    <definedName name="Rok">VstupySR!$B$1</definedName>
    <definedName name="rok_RD">'[2]T3-vstupy'!$C$150</definedName>
    <definedName name="rok_rozpis">'[2]T3-vstupy'!$C$151</definedName>
    <definedName name="rok_VV1">'[2]T3-vstupy'!$C$152</definedName>
    <definedName name="rok_VV2">'[2]T3-vstupy'!$C$153</definedName>
    <definedName name="rok_VV3">'[2]T3-vstupy'!$C$154</definedName>
    <definedName name="roky">'[2]T3-vstupy'!$C$134</definedName>
    <definedName name="SAPBEXrevision" hidden="1">7</definedName>
    <definedName name="SAPBEXsysID" hidden="1">"BS1"</definedName>
    <definedName name="SAPBEXwbID" hidden="1">"3TG3S316PX9BHXMQEBSXSYZZO"</definedName>
    <definedName name="student">'[3]T5b-studenti'!$BI:$BI</definedName>
    <definedName name="ŠD_val">'[2]T3-vstupy'!$C$142</definedName>
    <definedName name="Tab_odbory">'[2]T2-odbory_predmety'!$A$4:$H$683</definedName>
    <definedName name="TaS_odb">'[4]T5b-studenti'!$AP:$AP</definedName>
    <definedName name="uči_val">'[2]T3-vstupy'!$C$138</definedName>
    <definedName name="university">'[4]T5b-studenti'!$D:$D</definedName>
    <definedName name="váha_Pub">'[2]T3-vstupy'!$C$80</definedName>
    <definedName name="váha_um">'[2]T3-vstupy'!$C$81</definedName>
    <definedName name="valorizacia">Sumare!#REF!</definedName>
    <definedName name="valorizcacia">Sumare!#REF!</definedName>
    <definedName name="VaV_uči_val">'[2]T3-vstupy'!$C$141</definedName>
    <definedName name="VaV_val">'[2]T3-vstupy'!$C$140</definedName>
    <definedName name="verzia">VstupySR!$B$3</definedName>
    <definedName name="VVŠ_naša">'[1]T5b-studenti'!$BA:$BA</definedName>
    <definedName name="výk_DG">'[2]T3-vstupy'!$C$85</definedName>
    <definedName name="výk_DP">KA!#REF!</definedName>
    <definedName name="výk_Dršpo">'[2]T3-vstupy'!$C$87</definedName>
    <definedName name="výk_exc">KA!$C$43</definedName>
    <definedName name="výk_interval">KA!$C$42</definedName>
    <definedName name="výk_KA">'[2]T3-vstupy'!$C$83</definedName>
    <definedName name="výk_PC">'[2]T3-vstupy'!$C$84</definedName>
    <definedName name="výk_Pub">'[2]T3-vstupy'!$C$88</definedName>
    <definedName name="výk_um">'[2]T3-vstupy'!$C$89</definedName>
    <definedName name="výk_ZG">'[2]T3-vstupy'!$C$86</definedName>
    <definedName name="xxx" hidden="1">"3TGMUFSSIAIMK2KTNC9DELQD0"</definedName>
    <definedName name="zdroj">VstupySR!$F$5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1" l="1"/>
  <c r="L21" i="3"/>
  <c r="L22" i="3"/>
  <c r="L23" i="3"/>
  <c r="L24" i="3"/>
  <c r="L25" i="3"/>
  <c r="L26" i="3"/>
  <c r="L27" i="3"/>
  <c r="L28" i="3"/>
  <c r="L29" i="3"/>
  <c r="L30" i="3"/>
  <c r="L20" i="3"/>
  <c r="K21" i="3" l="1"/>
  <c r="K22" i="3"/>
  <c r="K23" i="3"/>
  <c r="K24" i="3"/>
  <c r="K25" i="3"/>
  <c r="K26" i="3"/>
  <c r="K27" i="3"/>
  <c r="K28" i="3"/>
  <c r="K29" i="3"/>
  <c r="K30" i="3"/>
  <c r="K20" i="3"/>
  <c r="P10" i="14"/>
  <c r="P11" i="14"/>
  <c r="P12" i="14"/>
  <c r="P13" i="14"/>
  <c r="P14" i="14"/>
  <c r="P15" i="14"/>
  <c r="P16" i="14"/>
  <c r="P9" i="14"/>
  <c r="O16" i="14"/>
  <c r="O10" i="14"/>
  <c r="O11" i="14"/>
  <c r="O12" i="14"/>
  <c r="O13" i="14"/>
  <c r="O9" i="14"/>
  <c r="N10" i="14"/>
  <c r="N11" i="14"/>
  <c r="N12" i="14"/>
  <c r="N13" i="14"/>
  <c r="N9" i="14"/>
  <c r="K10" i="14"/>
  <c r="K11" i="14"/>
  <c r="K12" i="14"/>
  <c r="K13" i="14"/>
  <c r="K9" i="14"/>
  <c r="J10" i="14"/>
  <c r="J11" i="14"/>
  <c r="J12" i="14"/>
  <c r="J13" i="14"/>
  <c r="J9" i="14"/>
  <c r="E5" i="14"/>
  <c r="I13" i="14"/>
  <c r="I12" i="14"/>
  <c r="I11" i="14"/>
  <c r="I9" i="14"/>
  <c r="I10" i="14"/>
  <c r="J70" i="11"/>
  <c r="E39" i="11"/>
  <c r="A3" i="11"/>
  <c r="B62" i="11"/>
  <c r="A18" i="15"/>
  <c r="A30" i="15"/>
  <c r="N16" i="14" l="1"/>
  <c r="K16" i="14"/>
  <c r="E14" i="11"/>
  <c r="L61" i="5" l="1"/>
  <c r="L62" i="5"/>
  <c r="L60" i="5"/>
  <c r="D25" i="10" l="1"/>
  <c r="B25" i="10"/>
  <c r="H17" i="10" l="1"/>
  <c r="M1" i="10"/>
  <c r="B19" i="4" l="1"/>
  <c r="H16" i="2" l="1"/>
  <c r="B37" i="14" l="1"/>
  <c r="B38" i="5" l="1"/>
  <c r="E13" i="14" l="1"/>
  <c r="E12" i="14"/>
  <c r="E11" i="14"/>
  <c r="E10" i="14"/>
  <c r="E9" i="14"/>
  <c r="L52" i="5" l="1"/>
  <c r="L40" i="5"/>
  <c r="L28" i="5"/>
  <c r="A23" i="4" l="1"/>
  <c r="H18" i="10" l="1"/>
  <c r="H19" i="10"/>
  <c r="H20" i="10"/>
  <c r="H21" i="10"/>
  <c r="H22" i="10"/>
  <c r="H23" i="10"/>
  <c r="H24" i="10"/>
  <c r="F5" i="3" l="1"/>
  <c r="F6" i="3"/>
  <c r="F7" i="3"/>
  <c r="F8" i="3"/>
  <c r="F9" i="3"/>
  <c r="F10" i="3"/>
  <c r="F11" i="3"/>
  <c r="F12" i="3"/>
  <c r="F13" i="3"/>
  <c r="F4" i="3"/>
  <c r="J18" i="10"/>
  <c r="J19" i="10"/>
  <c r="J20" i="10"/>
  <c r="J21" i="10"/>
  <c r="J22" i="10"/>
  <c r="J23" i="10"/>
  <c r="J24" i="10"/>
  <c r="J17" i="10"/>
  <c r="N25" i="10"/>
  <c r="O25" i="10"/>
  <c r="P25" i="10"/>
  <c r="Q25" i="10"/>
  <c r="R25" i="10"/>
  <c r="B53" i="5" l="1"/>
  <c r="B41" i="5"/>
  <c r="B29" i="5"/>
  <c r="O27" i="8"/>
  <c r="M27" i="8"/>
  <c r="M26" i="8"/>
  <c r="L26" i="8"/>
  <c r="K27" i="8"/>
  <c r="K26" i="8"/>
  <c r="J26" i="8"/>
  <c r="C40" i="8" l="1"/>
  <c r="C26" i="8"/>
  <c r="P19" i="8"/>
  <c r="P20" i="8"/>
  <c r="P21" i="8"/>
  <c r="P22" i="8"/>
  <c r="P23" i="8"/>
  <c r="P24" i="8"/>
  <c r="P25" i="8"/>
  <c r="P18" i="8"/>
  <c r="E39" i="8"/>
  <c r="E38" i="8"/>
  <c r="E37" i="8"/>
  <c r="E36" i="8"/>
  <c r="E35" i="8"/>
  <c r="E34" i="8"/>
  <c r="E33" i="8"/>
  <c r="E32" i="8"/>
  <c r="E19" i="8"/>
  <c r="E20" i="8"/>
  <c r="E21" i="8"/>
  <c r="E22" i="8"/>
  <c r="E23" i="8"/>
  <c r="E24" i="8"/>
  <c r="E25" i="8"/>
  <c r="E18" i="8"/>
  <c r="K17" i="8"/>
  <c r="J17" i="8"/>
  <c r="B31" i="8"/>
  <c r="C31" i="8"/>
  <c r="C17" i="8"/>
  <c r="B17" i="8"/>
  <c r="O4" i="8"/>
  <c r="O5" i="8"/>
  <c r="O6" i="8"/>
  <c r="O7" i="8"/>
  <c r="O8" i="8"/>
  <c r="O9" i="8"/>
  <c r="O10" i="8"/>
  <c r="O11" i="8"/>
  <c r="E12" i="8"/>
  <c r="F12" i="8"/>
  <c r="G12" i="8"/>
  <c r="H12" i="8"/>
  <c r="I12" i="8"/>
  <c r="J12" i="8"/>
  <c r="K12" i="8"/>
  <c r="L12" i="8"/>
  <c r="M12" i="8"/>
  <c r="C12" i="8"/>
  <c r="P3" i="8"/>
  <c r="O3" i="8"/>
  <c r="N3" i="8"/>
  <c r="M3" i="8"/>
  <c r="L3" i="8"/>
  <c r="K3" i="8"/>
  <c r="J3" i="8"/>
  <c r="I3" i="8"/>
  <c r="H3" i="8"/>
  <c r="G3" i="8"/>
  <c r="F3" i="8"/>
  <c r="E3" i="8"/>
  <c r="C3" i="8"/>
  <c r="B3" i="8"/>
  <c r="O12" i="8" l="1"/>
  <c r="C36" i="14" l="1"/>
  <c r="B36" i="14" l="1"/>
  <c r="B32" i="14" l="1"/>
  <c r="B30" i="14"/>
  <c r="B33" i="14"/>
  <c r="B34" i="14"/>
  <c r="B31" i="14"/>
  <c r="J51" i="2"/>
  <c r="J16" i="2"/>
  <c r="J15" i="2" s="1"/>
  <c r="J8" i="2"/>
  <c r="J6" i="2" s="1"/>
  <c r="I9" i="20" l="1"/>
  <c r="I8" i="20"/>
  <c r="I7" i="20"/>
  <c r="I6" i="20"/>
  <c r="I5" i="20"/>
  <c r="I4" i="20"/>
  <c r="H10" i="20"/>
  <c r="G10" i="20"/>
  <c r="F10" i="20"/>
  <c r="E10" i="20"/>
  <c r="D10" i="20"/>
  <c r="C10" i="20"/>
  <c r="I3" i="20"/>
  <c r="E24" i="10"/>
  <c r="E23" i="10"/>
  <c r="E22" i="10"/>
  <c r="E21" i="10"/>
  <c r="E20" i="10"/>
  <c r="E19" i="10"/>
  <c r="E18" i="10"/>
  <c r="E17" i="10"/>
  <c r="E25" i="10" l="1"/>
  <c r="I10" i="20"/>
  <c r="B10" i="20"/>
  <c r="J5" i="20" l="1"/>
  <c r="C29" i="6" s="1"/>
  <c r="J6" i="20"/>
  <c r="C30" i="6" s="1"/>
  <c r="J7" i="20"/>
  <c r="C31" i="6" s="1"/>
  <c r="J8" i="20"/>
  <c r="C32" i="6" s="1"/>
  <c r="J9" i="20"/>
  <c r="C33" i="6" s="1"/>
  <c r="J3" i="20"/>
  <c r="J4" i="20"/>
  <c r="C28" i="6" s="1"/>
  <c r="B48" i="10"/>
  <c r="B50" i="10"/>
  <c r="B49" i="10"/>
  <c r="F60" i="10"/>
  <c r="D60" i="10"/>
  <c r="P7" i="10"/>
  <c r="P6" i="10"/>
  <c r="P5" i="10"/>
  <c r="P4" i="10"/>
  <c r="P3" i="10"/>
  <c r="C27" i="6" l="1"/>
  <c r="J10" i="20"/>
  <c r="B31" i="19"/>
  <c r="B32" i="19"/>
  <c r="B33" i="19"/>
  <c r="B34" i="19"/>
  <c r="B35" i="19"/>
  <c r="I16" i="19"/>
  <c r="J16" i="19" s="1"/>
  <c r="J15" i="19"/>
  <c r="J7" i="19"/>
  <c r="J8" i="19"/>
  <c r="J9" i="19"/>
  <c r="J10" i="19"/>
  <c r="J11" i="19"/>
  <c r="J12" i="19"/>
  <c r="J13" i="19"/>
  <c r="B29" i="19" s="1"/>
  <c r="J14" i="19"/>
  <c r="J17" i="19"/>
  <c r="J18" i="19"/>
  <c r="J19" i="19"/>
  <c r="J20" i="19"/>
  <c r="J21" i="19"/>
  <c r="J22" i="19"/>
  <c r="B30" i="19" s="1"/>
  <c r="J23" i="19"/>
  <c r="J24" i="19"/>
  <c r="J6" i="19"/>
  <c r="J37" i="6"/>
  <c r="C37" i="6"/>
  <c r="D37" i="6"/>
  <c r="E37" i="6"/>
  <c r="F37" i="6"/>
  <c r="G37" i="6"/>
  <c r="H37" i="6"/>
  <c r="I37" i="6"/>
  <c r="B37" i="6"/>
  <c r="B65" i="11"/>
  <c r="B66" i="11"/>
  <c r="B67" i="11"/>
  <c r="B68" i="11"/>
  <c r="B69" i="11"/>
  <c r="B64" i="11"/>
  <c r="B50" i="5"/>
  <c r="B49" i="5"/>
  <c r="B48" i="5"/>
  <c r="B47" i="5"/>
  <c r="B46" i="5"/>
  <c r="B45" i="5"/>
  <c r="B37" i="5"/>
  <c r="B36" i="5"/>
  <c r="B35" i="5"/>
  <c r="B34" i="5"/>
  <c r="B33" i="5"/>
  <c r="B22" i="5"/>
  <c r="B23" i="5"/>
  <c r="B24" i="5"/>
  <c r="B25" i="5"/>
  <c r="B26" i="5"/>
  <c r="B21" i="5"/>
  <c r="K28" i="5"/>
  <c r="J28" i="5"/>
  <c r="K40" i="5"/>
  <c r="J40" i="5"/>
  <c r="J52" i="5"/>
  <c r="K52" i="5"/>
  <c r="H51" i="2"/>
  <c r="H8" i="2"/>
  <c r="H6" i="2" s="1"/>
  <c r="E6" i="3"/>
  <c r="N1" i="3"/>
  <c r="B36" i="19" l="1"/>
  <c r="C33" i="19"/>
  <c r="B31" i="6" s="1"/>
  <c r="C32" i="19"/>
  <c r="B30" i="6" s="1"/>
  <c r="C30" i="19"/>
  <c r="B28" i="6" s="1"/>
  <c r="C31" i="19"/>
  <c r="B29" i="6" s="1"/>
  <c r="C34" i="19" l="1"/>
  <c r="B32" i="6" s="1"/>
  <c r="C35" i="19"/>
  <c r="B33" i="6" s="1"/>
  <c r="C29" i="19"/>
  <c r="B27" i="6" l="1"/>
  <c r="C36" i="19"/>
  <c r="J39" i="2" l="1"/>
  <c r="I39" i="2"/>
  <c r="J36" i="2"/>
  <c r="I36" i="2"/>
  <c r="J7" i="2"/>
  <c r="I15" i="2"/>
  <c r="I7" i="2" s="1"/>
  <c r="D30" i="18" l="1"/>
  <c r="J39" i="18"/>
  <c r="D39" i="18"/>
  <c r="D20" i="18"/>
  <c r="G20" i="18" s="1"/>
  <c r="E32" i="18"/>
  <c r="E39" i="18"/>
  <c r="E42" i="18"/>
  <c r="E43" i="18"/>
  <c r="E44" i="18"/>
  <c r="D24" i="18"/>
  <c r="J24" i="18" s="1"/>
  <c r="E24" i="18" s="1"/>
  <c r="D23" i="18"/>
  <c r="M23" i="18" s="1"/>
  <c r="E23" i="18" s="1"/>
  <c r="D22" i="18"/>
  <c r="J22" i="18" s="1"/>
  <c r="E22" i="18" s="1"/>
  <c r="F53" i="18"/>
  <c r="E53" i="18" s="1"/>
  <c r="E5" i="18"/>
  <c r="E45" i="18"/>
  <c r="E20" i="18" l="1"/>
  <c r="B15" i="4" l="1"/>
  <c r="J66" i="5" l="1"/>
  <c r="I66" i="5"/>
  <c r="H66" i="5"/>
  <c r="G66" i="5"/>
  <c r="D5" i="4"/>
  <c r="D6" i="4"/>
  <c r="D7" i="4"/>
  <c r="D8" i="4"/>
  <c r="D9" i="4"/>
  <c r="L59" i="5" l="1"/>
  <c r="L63" i="5"/>
  <c r="L58" i="5"/>
  <c r="L64" i="5"/>
  <c r="M65" i="5"/>
  <c r="L65" i="5" l="1"/>
  <c r="E17" i="3"/>
  <c r="D18" i="18"/>
  <c r="B17" i="3"/>
  <c r="D19" i="18" l="1"/>
  <c r="F19" i="18" s="1"/>
  <c r="E19" i="18" s="1"/>
  <c r="F18" i="18"/>
  <c r="E18" i="18" s="1"/>
  <c r="G6" i="3"/>
  <c r="H65" i="5"/>
  <c r="I65" i="5"/>
  <c r="J65" i="5"/>
  <c r="G65" i="5"/>
  <c r="D23" i="3" l="1"/>
  <c r="D29" i="3"/>
  <c r="D28" i="3"/>
  <c r="D27" i="3"/>
  <c r="D26" i="3"/>
  <c r="D25" i="3"/>
  <c r="D24" i="3"/>
  <c r="K1" i="3"/>
  <c r="L1" i="3"/>
  <c r="A28" i="4"/>
  <c r="E4" i="6"/>
  <c r="A4" i="6"/>
  <c r="E27" i="4" l="1"/>
  <c r="D27" i="4"/>
  <c r="L14" i="3" l="1"/>
  <c r="L62" i="3"/>
  <c r="K62" i="3"/>
  <c r="B35" i="14" l="1"/>
  <c r="G33" i="7" l="1"/>
  <c r="B2" i="10" l="1"/>
  <c r="C2" i="10"/>
  <c r="D2" i="10"/>
  <c r="H2" i="10" l="1"/>
  <c r="E2" i="10"/>
  <c r="E11" i="10" l="1"/>
  <c r="F6" i="10"/>
  <c r="R2" i="10"/>
  <c r="Q2" i="10"/>
  <c r="P2" i="10"/>
  <c r="F3" i="10"/>
  <c r="F4" i="10"/>
  <c r="F5" i="10"/>
  <c r="F7" i="10"/>
  <c r="F8" i="10"/>
  <c r="F9" i="10"/>
  <c r="I3" i="10"/>
  <c r="I4" i="10"/>
  <c r="I5" i="10"/>
  <c r="I6" i="10"/>
  <c r="I7" i="10"/>
  <c r="I8" i="10"/>
  <c r="I9" i="10"/>
  <c r="G8" i="10" l="1"/>
  <c r="G7" i="10"/>
  <c r="G5" i="10"/>
  <c r="G6" i="10"/>
  <c r="G3" i="10"/>
  <c r="G4" i="10"/>
  <c r="G9" i="10"/>
  <c r="K2" i="10" l="1"/>
  <c r="J2" i="10"/>
  <c r="I2" i="10"/>
  <c r="G2" i="10"/>
  <c r="F2" i="10"/>
  <c r="D1" i="10"/>
  <c r="L45" i="3" l="1"/>
  <c r="L59" i="3"/>
  <c r="G50" i="11" l="1"/>
  <c r="D40" i="5"/>
  <c r="C40" i="5"/>
  <c r="B40" i="5"/>
  <c r="F22" i="5"/>
  <c r="F23" i="5"/>
  <c r="F24" i="5"/>
  <c r="F25" i="5"/>
  <c r="F26" i="5"/>
  <c r="F27" i="5"/>
  <c r="F21" i="5"/>
  <c r="D28" i="5"/>
  <c r="C28" i="5"/>
  <c r="B28" i="5"/>
  <c r="F28" i="5" l="1"/>
  <c r="G21" i="5" s="1"/>
  <c r="G22" i="5"/>
  <c r="E28" i="4"/>
  <c r="G23" i="5" l="1"/>
  <c r="G24" i="5"/>
  <c r="G27" i="5"/>
  <c r="G26" i="5"/>
  <c r="G25" i="5"/>
  <c r="G28" i="5" l="1"/>
  <c r="B26" i="8"/>
  <c r="B40" i="8"/>
  <c r="H36" i="2" l="1"/>
  <c r="H39" i="2" l="1"/>
  <c r="I40" i="3" l="1"/>
  <c r="H40" i="3" l="1"/>
  <c r="E36" i="3" l="1"/>
  <c r="E39" i="3"/>
  <c r="D36" i="3"/>
  <c r="D37" i="3"/>
  <c r="D38" i="3"/>
  <c r="D39" i="3"/>
  <c r="D35" i="3"/>
  <c r="C34" i="3"/>
  <c r="B34" i="3"/>
  <c r="C40" i="3"/>
  <c r="B40" i="3"/>
  <c r="E40" i="3" l="1"/>
  <c r="D40" i="3" l="1"/>
  <c r="N1" i="10" l="1"/>
  <c r="D11" i="4"/>
  <c r="E11" i="4"/>
  <c r="D3" i="12" l="1"/>
  <c r="D5" i="12"/>
  <c r="B29" i="4"/>
  <c r="D28" i="4"/>
  <c r="E16" i="3" l="1"/>
  <c r="D40" i="18"/>
  <c r="F40" i="18" s="1"/>
  <c r="E29" i="4"/>
  <c r="B30" i="4"/>
  <c r="D41" i="18" s="1"/>
  <c r="D29" i="4"/>
  <c r="D23" i="4"/>
  <c r="F41" i="18" l="1"/>
  <c r="E41" i="18" s="1"/>
  <c r="E40" i="18"/>
  <c r="E30" i="4"/>
  <c r="D30" i="4"/>
  <c r="B26" i="7" l="1"/>
  <c r="C26" i="7"/>
  <c r="H11" i="10" l="1"/>
  <c r="B11" i="10"/>
  <c r="H10" i="10"/>
  <c r="E10" i="10"/>
  <c r="J6" i="10" l="1"/>
  <c r="J3" i="10"/>
  <c r="J9" i="10"/>
  <c r="J8" i="10"/>
  <c r="J5" i="10"/>
  <c r="J7" i="10"/>
  <c r="J4" i="10"/>
  <c r="E10" i="4" l="1"/>
  <c r="D10" i="4"/>
  <c r="K27" i="6" l="1"/>
  <c r="K31" i="6"/>
  <c r="K30" i="6"/>
  <c r="K33" i="6"/>
  <c r="K29" i="6"/>
  <c r="K32" i="6"/>
  <c r="K28" i="6"/>
  <c r="H15" i="2" l="1"/>
  <c r="H7" i="2" s="1"/>
  <c r="C34" i="6"/>
  <c r="F5" i="2" l="1"/>
  <c r="F31" i="2" l="1"/>
  <c r="F29" i="2"/>
  <c r="F28" i="2"/>
  <c r="F27" i="2"/>
  <c r="F26" i="2"/>
  <c r="F25" i="2"/>
  <c r="F22" i="2"/>
  <c r="F16" i="2"/>
  <c r="F33" i="2"/>
  <c r="F30" i="2"/>
  <c r="F18" i="2"/>
  <c r="F32" i="2"/>
  <c r="F17" i="2"/>
  <c r="F14" i="2"/>
  <c r="F15" i="2"/>
  <c r="F13" i="2"/>
  <c r="C4" i="10" l="1"/>
  <c r="C5" i="10"/>
  <c r="C6" i="10"/>
  <c r="C7" i="10"/>
  <c r="C8" i="10"/>
  <c r="C9" i="10"/>
  <c r="C3" i="10"/>
  <c r="O10" i="10"/>
  <c r="F10" i="10" l="1"/>
  <c r="G10" i="10" s="1"/>
  <c r="I10" i="10"/>
  <c r="J10" i="10" s="1"/>
  <c r="C10" i="10"/>
  <c r="R10" i="10"/>
  <c r="Q10" i="10"/>
  <c r="P10" i="10"/>
  <c r="P11" i="8" l="1"/>
  <c r="P10" i="8"/>
  <c r="P9" i="8"/>
  <c r="P8" i="8"/>
  <c r="P7" i="8"/>
  <c r="P6" i="8"/>
  <c r="P5" i="8"/>
  <c r="P4" i="8"/>
  <c r="C25" i="7" l="1"/>
  <c r="C24" i="7"/>
  <c r="C23" i="7"/>
  <c r="C22" i="7"/>
  <c r="C21" i="7"/>
  <c r="C20" i="7"/>
  <c r="C27" i="7" l="1"/>
  <c r="D22" i="4"/>
  <c r="G42" i="3" s="1"/>
  <c r="A22" i="4"/>
  <c r="E3" i="11"/>
  <c r="A12" i="4"/>
  <c r="L6" i="2" l="1"/>
  <c r="L7" i="2" l="1"/>
  <c r="K6" i="2"/>
  <c r="K7" i="2"/>
  <c r="B7" i="2"/>
  <c r="L8" i="2"/>
  <c r="C1" i="3"/>
  <c r="B2" i="3" l="1"/>
  <c r="E18" i="3" s="1"/>
  <c r="K8" i="2"/>
  <c r="B8" i="2"/>
  <c r="L9" i="2"/>
  <c r="K9" i="2" s="1"/>
  <c r="L10" i="2" l="1"/>
  <c r="K10" i="2" s="1"/>
  <c r="B9" i="2"/>
  <c r="A3" i="12"/>
  <c r="D13" i="18" l="1"/>
  <c r="D9" i="2"/>
  <c r="B10" i="2"/>
  <c r="L11" i="2"/>
  <c r="L12" i="2" s="1"/>
  <c r="L13" i="2" l="1"/>
  <c r="B12" i="2"/>
  <c r="K11" i="2"/>
  <c r="B11" i="2"/>
  <c r="D12" i="2" l="1"/>
  <c r="E4" i="11"/>
  <c r="K13" i="2"/>
  <c r="L14" i="2"/>
  <c r="K14" i="2" s="1"/>
  <c r="B13" i="2"/>
  <c r="B14" i="2"/>
  <c r="L15" i="2"/>
  <c r="M25" i="10"/>
  <c r="D2" i="18" l="1"/>
  <c r="I2" i="18" s="1"/>
  <c r="E2" i="18" s="1"/>
  <c r="E5" i="5"/>
  <c r="K15" i="2"/>
  <c r="B15" i="2"/>
  <c r="E13" i="2"/>
  <c r="D13" i="2"/>
  <c r="L16" i="2"/>
  <c r="K16" i="2" l="1"/>
  <c r="B16" i="2"/>
  <c r="L17" i="2"/>
  <c r="K17" i="2" l="1"/>
  <c r="L18" i="2"/>
  <c r="E16" i="2"/>
  <c r="D16" i="2"/>
  <c r="B17" i="2"/>
  <c r="G14" i="11"/>
  <c r="B18" i="2" l="1"/>
  <c r="L19" i="2"/>
  <c r="L20" i="2" s="1"/>
  <c r="K18" i="2"/>
  <c r="H34" i="18"/>
  <c r="D34" i="18"/>
  <c r="G34" i="18"/>
  <c r="L21" i="2"/>
  <c r="B21" i="2" s="1"/>
  <c r="B20" i="2"/>
  <c r="K21" i="2"/>
  <c r="K19" i="2"/>
  <c r="D17" i="2"/>
  <c r="E17" i="2"/>
  <c r="L22" i="2"/>
  <c r="K22" i="2" s="1"/>
  <c r="B19" i="2"/>
  <c r="O26" i="8"/>
  <c r="D26" i="8"/>
  <c r="D40" i="8"/>
  <c r="D18" i="2" l="1"/>
  <c r="E3" i="6"/>
  <c r="E20" i="2"/>
  <c r="L16" i="3"/>
  <c r="K5" i="3" s="1"/>
  <c r="B26" i="4"/>
  <c r="D26" i="4" s="1"/>
  <c r="E21" i="2"/>
  <c r="D28" i="18"/>
  <c r="D21" i="2"/>
  <c r="D20" i="2"/>
  <c r="B41" i="3"/>
  <c r="E19" i="2"/>
  <c r="D19" i="2"/>
  <c r="E2" i="6"/>
  <c r="L23" i="2"/>
  <c r="L24" i="2" s="1"/>
  <c r="L25" i="2" s="1"/>
  <c r="K25" i="2" s="1"/>
  <c r="B22" i="2"/>
  <c r="H2" i="6" l="1"/>
  <c r="K6" i="3"/>
  <c r="P13" i="18" s="1"/>
  <c r="P14" i="18" s="1"/>
  <c r="K12" i="3"/>
  <c r="N13" i="18" s="1"/>
  <c r="K13" i="3"/>
  <c r="O13" i="18" s="1"/>
  <c r="K9" i="3"/>
  <c r="K13" i="18" s="1"/>
  <c r="K8" i="3"/>
  <c r="J13" i="18" s="1"/>
  <c r="K11" i="3"/>
  <c r="M13" i="18" s="1"/>
  <c r="K7" i="3"/>
  <c r="I13" i="18" s="1"/>
  <c r="K10" i="3"/>
  <c r="L13" i="18" s="1"/>
  <c r="K4" i="3"/>
  <c r="F28" i="18" s="1"/>
  <c r="B25" i="2"/>
  <c r="D45" i="18" s="1"/>
  <c r="L26" i="2"/>
  <c r="K26" i="2" s="1"/>
  <c r="E28" i="18" l="1"/>
  <c r="B26" i="2"/>
  <c r="D47" i="18" s="1"/>
  <c r="L27" i="2"/>
  <c r="K27" i="2" s="1"/>
  <c r="B27" i="2" l="1"/>
  <c r="D46" i="18" s="1"/>
  <c r="L28" i="2"/>
  <c r="D52" i="5"/>
  <c r="C52" i="5"/>
  <c r="B52" i="5"/>
  <c r="K28" i="2" l="1"/>
  <c r="B28" i="2"/>
  <c r="D49" i="18" s="1"/>
  <c r="L29" i="2"/>
  <c r="K29" i="2" s="1"/>
  <c r="Q49" i="18" l="1"/>
  <c r="E49" i="18" s="1"/>
  <c r="D50" i="18"/>
  <c r="Q50" i="18" s="1"/>
  <c r="E50" i="18" s="1"/>
  <c r="B29" i="2"/>
  <c r="L30" i="2"/>
  <c r="K30" i="2" s="1"/>
  <c r="D9" i="10"/>
  <c r="K9" i="10" s="1"/>
  <c r="N11" i="10"/>
  <c r="M11" i="10"/>
  <c r="B10" i="10"/>
  <c r="D10" i="10" s="1"/>
  <c r="D8" i="10"/>
  <c r="K8" i="10" s="1"/>
  <c r="D7" i="10"/>
  <c r="K7" i="10" s="1"/>
  <c r="D6" i="10"/>
  <c r="K6" i="10" s="1"/>
  <c r="D5" i="10"/>
  <c r="K5" i="10" s="1"/>
  <c r="D4" i="10"/>
  <c r="K4" i="10" s="1"/>
  <c r="D3" i="10"/>
  <c r="K3" i="10" s="1"/>
  <c r="B30" i="2" l="1"/>
  <c r="D51" i="18" s="1"/>
  <c r="Q51" i="18" s="1"/>
  <c r="E51" i="18" s="1"/>
  <c r="L31" i="2"/>
  <c r="K31" i="2" s="1"/>
  <c r="K10" i="10"/>
  <c r="B31" i="2" l="1"/>
  <c r="L32" i="2"/>
  <c r="K32" i="2" s="1"/>
  <c r="N9" i="10"/>
  <c r="E51" i="5" s="1"/>
  <c r="F51" i="5" s="1"/>
  <c r="M9" i="10"/>
  <c r="E39" i="5" s="1"/>
  <c r="F39" i="5" s="1"/>
  <c r="N3" i="10"/>
  <c r="M3" i="10"/>
  <c r="E33" i="5" s="1"/>
  <c r="F33" i="5" s="1"/>
  <c r="M5" i="10"/>
  <c r="E35" i="5" s="1"/>
  <c r="F35" i="5" s="1"/>
  <c r="N5" i="10"/>
  <c r="E47" i="5" s="1"/>
  <c r="F47" i="5" s="1"/>
  <c r="N7" i="10"/>
  <c r="E49" i="5" s="1"/>
  <c r="F49" i="5" s="1"/>
  <c r="M7" i="10"/>
  <c r="E37" i="5" s="1"/>
  <c r="F37" i="5" s="1"/>
  <c r="M6" i="10"/>
  <c r="E36" i="5" s="1"/>
  <c r="F36" i="5" s="1"/>
  <c r="N6" i="10"/>
  <c r="E48" i="5" s="1"/>
  <c r="F48" i="5" s="1"/>
  <c r="M8" i="10"/>
  <c r="E38" i="5" s="1"/>
  <c r="F38" i="5" s="1"/>
  <c r="N8" i="10"/>
  <c r="E50" i="5" s="1"/>
  <c r="F50" i="5" s="1"/>
  <c r="M4" i="10"/>
  <c r="E34" i="5" s="1"/>
  <c r="F34" i="5" s="1"/>
  <c r="N4" i="10"/>
  <c r="E31" i="2" l="1"/>
  <c r="D48" i="18"/>
  <c r="Q48" i="18" s="1"/>
  <c r="E48" i="18" s="1"/>
  <c r="F40" i="5"/>
  <c r="G38" i="5" s="1"/>
  <c r="L33" i="2"/>
  <c r="K33" i="2" s="1"/>
  <c r="B32" i="2"/>
  <c r="D52" i="18" s="1"/>
  <c r="F52" i="18" s="1"/>
  <c r="E52" i="18" s="1"/>
  <c r="E46" i="5"/>
  <c r="F46" i="5" s="1"/>
  <c r="E45" i="5"/>
  <c r="F45" i="5" s="1"/>
  <c r="M10" i="10"/>
  <c r="E40" i="5" s="1"/>
  <c r="N10" i="10"/>
  <c r="E52" i="5" s="1"/>
  <c r="G33" i="5" l="1"/>
  <c r="G35" i="5"/>
  <c r="G39" i="5"/>
  <c r="G34" i="5"/>
  <c r="G36" i="5"/>
  <c r="G37" i="5"/>
  <c r="L34" i="2"/>
  <c r="L35" i="2" s="1"/>
  <c r="L36" i="2" s="1"/>
  <c r="K36" i="2" s="1"/>
  <c r="B33" i="2"/>
  <c r="D54" i="18" s="1"/>
  <c r="F54" i="18" s="1"/>
  <c r="E54" i="18" s="1"/>
  <c r="F52" i="5"/>
  <c r="G50" i="5" s="1"/>
  <c r="G31" i="7"/>
  <c r="F31" i="7"/>
  <c r="E31" i="7"/>
  <c r="D31" i="7"/>
  <c r="H38" i="7"/>
  <c r="G40" i="5" l="1"/>
  <c r="L37" i="2"/>
  <c r="L38" i="2" s="1"/>
  <c r="G46" i="5"/>
  <c r="G49" i="5"/>
  <c r="G47" i="5"/>
  <c r="G48" i="5"/>
  <c r="G45" i="5"/>
  <c r="G39" i="7"/>
  <c r="F39" i="7"/>
  <c r="E39" i="7"/>
  <c r="D39" i="7"/>
  <c r="C39" i="7"/>
  <c r="C31" i="7"/>
  <c r="B31" i="7"/>
  <c r="B39" i="7"/>
  <c r="K37" i="2" l="1"/>
  <c r="B37" i="2"/>
  <c r="K38" i="2"/>
  <c r="G52" i="5"/>
  <c r="H37" i="7"/>
  <c r="H36" i="7"/>
  <c r="H35" i="7"/>
  <c r="H34" i="7"/>
  <c r="H33" i="7"/>
  <c r="H32" i="7"/>
  <c r="P6" i="18" l="1"/>
  <c r="D6" i="18"/>
  <c r="B38" i="2"/>
  <c r="B36" i="2" s="1"/>
  <c r="E2" i="5" s="1"/>
  <c r="L39" i="2"/>
  <c r="B39" i="2" s="1"/>
  <c r="K34" i="6"/>
  <c r="H39" i="7"/>
  <c r="D3" i="18" l="1"/>
  <c r="D12" i="18" s="1"/>
  <c r="D14" i="18" s="1"/>
  <c r="D7" i="18"/>
  <c r="P7" i="18"/>
  <c r="E7" i="18" s="1"/>
  <c r="E6" i="18"/>
  <c r="L40" i="2"/>
  <c r="K40" i="2" s="1"/>
  <c r="K39" i="2"/>
  <c r="E36" i="2"/>
  <c r="D36" i="2"/>
  <c r="L41" i="2"/>
  <c r="K41" i="2" s="1"/>
  <c r="B40" i="2"/>
  <c r="E62" i="3"/>
  <c r="E5" i="3"/>
  <c r="E7" i="3"/>
  <c r="E8" i="3"/>
  <c r="E9" i="3"/>
  <c r="E10" i="3"/>
  <c r="E11" i="3"/>
  <c r="E12" i="3"/>
  <c r="E13" i="3"/>
  <c r="E4" i="3"/>
  <c r="F57" i="3"/>
  <c r="F50" i="3"/>
  <c r="F49" i="3"/>
  <c r="F48" i="3"/>
  <c r="F46" i="3"/>
  <c r="E47" i="3"/>
  <c r="E48" i="3"/>
  <c r="E49" i="3"/>
  <c r="E50" i="3"/>
  <c r="E51" i="3"/>
  <c r="E52" i="3"/>
  <c r="E53" i="3"/>
  <c r="E54" i="3"/>
  <c r="E55" i="3"/>
  <c r="E56" i="3"/>
  <c r="E57" i="3"/>
  <c r="E46" i="3"/>
  <c r="K45" i="3"/>
  <c r="O45" i="3"/>
  <c r="R45" i="3"/>
  <c r="Q45" i="3"/>
  <c r="N45" i="3"/>
  <c r="F56" i="3"/>
  <c r="F55" i="3"/>
  <c r="F54" i="3"/>
  <c r="F53" i="3"/>
  <c r="F52" i="3"/>
  <c r="R59" i="3"/>
  <c r="Q59" i="3"/>
  <c r="R14" i="3"/>
  <c r="Q14" i="3"/>
  <c r="N14" i="3"/>
  <c r="R2" i="3"/>
  <c r="Q2" i="3"/>
  <c r="M3" i="18" l="1"/>
  <c r="E3" i="18" s="1"/>
  <c r="D4" i="18"/>
  <c r="M4" i="18" s="1"/>
  <c r="E4" i="18" s="1"/>
  <c r="P8" i="18"/>
  <c r="E8" i="18" s="1"/>
  <c r="D8" i="18"/>
  <c r="L42" i="2"/>
  <c r="F51" i="3"/>
  <c r="E38" i="2"/>
  <c r="K42" i="2" l="1"/>
  <c r="B42" i="2"/>
  <c r="D10" i="18" s="1"/>
  <c r="M10" i="18" s="1"/>
  <c r="E10" i="18" s="1"/>
  <c r="L43" i="2"/>
  <c r="K43" i="2" s="1"/>
  <c r="O59" i="3"/>
  <c r="F47" i="3"/>
  <c r="L44" i="2" l="1"/>
  <c r="L45" i="2" s="1"/>
  <c r="L46" i="2" s="1"/>
  <c r="L47" i="2" s="1"/>
  <c r="B43" i="2"/>
  <c r="D5" i="18" s="1"/>
  <c r="K47" i="2" l="1"/>
  <c r="B47" i="2"/>
  <c r="L48" i="2"/>
  <c r="K48" i="2" s="1"/>
  <c r="L49" i="2" l="1"/>
  <c r="B48" i="2"/>
  <c r="H26" i="10" s="1"/>
  <c r="K49" i="2" l="1"/>
  <c r="L50" i="2"/>
  <c r="L51" i="2" s="1"/>
  <c r="L52" i="2" s="1"/>
  <c r="B49" i="2"/>
  <c r="E4" i="5" l="1"/>
  <c r="G8" i="2"/>
  <c r="B51" i="2"/>
  <c r="G22" i="6" s="1"/>
  <c r="K50" i="2"/>
  <c r="B52" i="2"/>
  <c r="L53" i="2" l="1"/>
  <c r="K53" i="2" s="1"/>
  <c r="K52" i="2"/>
  <c r="G13" i="6"/>
  <c r="B50" i="2"/>
  <c r="E50" i="2" l="1"/>
  <c r="D50" i="2"/>
  <c r="G15" i="6"/>
  <c r="I11" i="20" s="1"/>
  <c r="L54" i="2"/>
  <c r="K54" i="2" s="1"/>
  <c r="B53" i="2"/>
  <c r="E52" i="2" l="1"/>
  <c r="D52" i="2"/>
  <c r="B54" i="2"/>
  <c r="L55" i="2"/>
  <c r="K55" i="2" s="1"/>
  <c r="G14" i="6"/>
  <c r="D49" i="2"/>
  <c r="B55" i="2" l="1"/>
  <c r="L56" i="2"/>
  <c r="K56" i="2" s="1"/>
  <c r="E54" i="2"/>
  <c r="D54" i="2"/>
  <c r="G16" i="6"/>
  <c r="E2" i="3"/>
  <c r="L57" i="2" l="1"/>
  <c r="K57" i="2" s="1"/>
  <c r="B56" i="2"/>
  <c r="G18" i="6" s="1"/>
  <c r="G17" i="6"/>
  <c r="D55" i="2"/>
  <c r="F8" i="2"/>
  <c r="L58" i="2" l="1"/>
  <c r="K58" i="2" s="1"/>
  <c r="B57" i="2"/>
  <c r="G19" i="6" s="1"/>
  <c r="N26" i="8"/>
  <c r="D12" i="8"/>
  <c r="B12" i="8"/>
  <c r="B58" i="2" l="1"/>
  <c r="L59" i="2"/>
  <c r="K59" i="2" s="1"/>
  <c r="E42" i="2"/>
  <c r="G20" i="6" l="1"/>
  <c r="J26" i="10"/>
  <c r="B59" i="2"/>
  <c r="D16" i="14"/>
  <c r="G21" i="6" l="1"/>
  <c r="G12" i="6" s="1"/>
  <c r="F22" i="6" s="1"/>
  <c r="G16" i="2"/>
  <c r="D22" i="14"/>
  <c r="B65" i="3" s="1"/>
  <c r="D23" i="14"/>
  <c r="B66" i="3" s="1"/>
  <c r="D24" i="14"/>
  <c r="B67" i="3" s="1"/>
  <c r="D25" i="14"/>
  <c r="B68" i="3" s="1"/>
  <c r="D21" i="14"/>
  <c r="B64" i="3" s="1"/>
  <c r="B73" i="10" l="1"/>
  <c r="C72" i="10" s="1"/>
  <c r="J25" i="10" l="1"/>
  <c r="K23" i="10" l="1"/>
  <c r="H33" i="6" s="1"/>
  <c r="K19" i="10"/>
  <c r="K22" i="10"/>
  <c r="K17" i="10"/>
  <c r="K21" i="10"/>
  <c r="K18" i="10"/>
  <c r="K20" i="10"/>
  <c r="F53" i="10" l="1"/>
  <c r="D53" i="10"/>
  <c r="C46" i="3" l="1"/>
  <c r="B21" i="4"/>
  <c r="D21" i="4" s="1"/>
  <c r="E21" i="4" l="1"/>
  <c r="D12" i="4" l="1"/>
  <c r="G43" i="3" s="1"/>
  <c r="E12" i="4"/>
  <c r="B19" i="13" l="1"/>
  <c r="D38" i="2" l="1"/>
  <c r="D48" i="2" l="1"/>
  <c r="F11" i="2" l="1"/>
  <c r="F10" i="2"/>
  <c r="E43" i="2" l="1"/>
  <c r="D43" i="2"/>
  <c r="G15" i="18" l="1"/>
  <c r="H25" i="10" l="1"/>
  <c r="I19" i="10" l="1"/>
  <c r="I17" i="10"/>
  <c r="I18" i="10"/>
  <c r="I20" i="10"/>
  <c r="I23" i="10"/>
  <c r="B64" i="5" s="1"/>
  <c r="I21" i="10"/>
  <c r="I22" i="10"/>
  <c r="C24" i="10"/>
  <c r="C64" i="5" s="1"/>
  <c r="C23" i="10"/>
  <c r="I33" i="6" l="1"/>
  <c r="B27" i="14"/>
  <c r="C27" i="14"/>
  <c r="G57" i="3" l="1"/>
  <c r="F58" i="3"/>
  <c r="E58" i="3"/>
  <c r="N10" i="8" l="1"/>
  <c r="Q10" i="8" s="1"/>
  <c r="K25" i="10" l="1"/>
  <c r="I25" i="10"/>
  <c r="F16" i="5"/>
  <c r="B32" i="4" l="1"/>
  <c r="B31" i="4"/>
  <c r="E31" i="4" s="1"/>
  <c r="D22" i="2" l="1"/>
  <c r="B17" i="4"/>
  <c r="D42" i="2"/>
  <c r="E25" i="2"/>
  <c r="B53" i="10" l="1"/>
  <c r="D15" i="4" l="1"/>
  <c r="E19" i="4" l="1"/>
  <c r="D17" i="4"/>
  <c r="D19" i="4"/>
  <c r="E17" i="4"/>
  <c r="F7" i="5" l="1"/>
  <c r="F81" i="3" l="1"/>
  <c r="E81" i="3"/>
  <c r="G74" i="3"/>
  <c r="G80" i="3"/>
  <c r="G79" i="3"/>
  <c r="G78" i="3"/>
  <c r="G77" i="3"/>
  <c r="G76" i="3"/>
  <c r="G75" i="3"/>
  <c r="E72" i="3"/>
  <c r="B72" i="3"/>
  <c r="G81" i="3" l="1"/>
  <c r="F69" i="3"/>
  <c r="E69" i="3"/>
  <c r="G68" i="3"/>
  <c r="G67" i="3"/>
  <c r="G66" i="3"/>
  <c r="G65" i="3"/>
  <c r="G64" i="3"/>
  <c r="B62" i="3"/>
  <c r="G69" i="3" l="1"/>
  <c r="D54" i="5"/>
  <c r="D27" i="14" l="1"/>
  <c r="B24" i="4" s="1"/>
  <c r="C69" i="10" l="1"/>
  <c r="G30" i="6" s="1"/>
  <c r="E16" i="14" l="1"/>
  <c r="C68" i="10"/>
  <c r="G29" i="6" s="1"/>
  <c r="C70" i="10"/>
  <c r="G31" i="6" s="1"/>
  <c r="C66" i="10"/>
  <c r="C67" i="10"/>
  <c r="G28" i="6" s="1"/>
  <c r="C71" i="10"/>
  <c r="B69" i="3" l="1"/>
  <c r="G27" i="6"/>
  <c r="G34" i="6" s="1"/>
  <c r="C73" i="10"/>
  <c r="D19" i="13"/>
  <c r="D27" i="7" l="1"/>
  <c r="D19" i="7"/>
  <c r="E6" i="13" l="1"/>
  <c r="F4" i="13"/>
  <c r="D33" i="4"/>
  <c r="E33" i="4"/>
  <c r="E3" i="13"/>
  <c r="E17" i="13" l="1"/>
  <c r="E13" i="13"/>
  <c r="I47" i="18" s="1"/>
  <c r="E14" i="13"/>
  <c r="E15" i="13"/>
  <c r="C77" i="3" s="1"/>
  <c r="E16" i="13"/>
  <c r="C78" i="3" s="1"/>
  <c r="E18" i="13"/>
  <c r="C80" i="3" s="1"/>
  <c r="E4" i="13"/>
  <c r="F46" i="18" s="1"/>
  <c r="C76" i="3" l="1"/>
  <c r="J47" i="18"/>
  <c r="C79" i="3"/>
  <c r="M47" i="18"/>
  <c r="E5" i="13"/>
  <c r="B74" i="3"/>
  <c r="C75" i="3"/>
  <c r="E19" i="13"/>
  <c r="C81" i="3" l="1"/>
  <c r="C82" i="3" s="1"/>
  <c r="E47" i="18"/>
  <c r="D74" i="3"/>
  <c r="C16" i="13"/>
  <c r="C17" i="13"/>
  <c r="C18" i="13"/>
  <c r="C13" i="13"/>
  <c r="C14" i="13"/>
  <c r="J46" i="18" s="1"/>
  <c r="C15" i="13"/>
  <c r="B75" i="3" l="1"/>
  <c r="D75" i="3" s="1"/>
  <c r="I75" i="3" s="1"/>
  <c r="I46" i="18"/>
  <c r="B77" i="3"/>
  <c r="D77" i="3" s="1"/>
  <c r="H77" i="3" s="1"/>
  <c r="K46" i="18"/>
  <c r="B80" i="3"/>
  <c r="D80" i="3" s="1"/>
  <c r="H80" i="3" s="1"/>
  <c r="N46" i="18"/>
  <c r="B79" i="3"/>
  <c r="D79" i="3" s="1"/>
  <c r="I79" i="3" s="1"/>
  <c r="M46" i="18"/>
  <c r="B78" i="3"/>
  <c r="D78" i="3" s="1"/>
  <c r="I78" i="3" s="1"/>
  <c r="L46" i="18"/>
  <c r="C19" i="13"/>
  <c r="B76" i="3"/>
  <c r="D76" i="3" s="1"/>
  <c r="I74" i="3"/>
  <c r="H74" i="3"/>
  <c r="I77" i="3" l="1"/>
  <c r="H75" i="3"/>
  <c r="H79" i="3"/>
  <c r="H78" i="3"/>
  <c r="E46" i="18"/>
  <c r="I80" i="3"/>
  <c r="I76" i="3"/>
  <c r="H76" i="3"/>
  <c r="D81" i="3"/>
  <c r="I81" i="3" s="1"/>
  <c r="B81" i="3"/>
  <c r="B82" i="3" s="1"/>
  <c r="H81" i="3" l="1"/>
  <c r="G57" i="10"/>
  <c r="E57" i="10"/>
  <c r="B60" i="10"/>
  <c r="C58" i="10" s="1"/>
  <c r="E51" i="11"/>
  <c r="F38" i="10"/>
  <c r="G35" i="10" s="1"/>
  <c r="E59" i="11" s="1"/>
  <c r="D38" i="10"/>
  <c r="E37" i="10" s="1"/>
  <c r="G61" i="11" s="1"/>
  <c r="B38" i="10"/>
  <c r="C35" i="10" s="1"/>
  <c r="F59" i="11" s="1"/>
  <c r="B70" i="11"/>
  <c r="O17" i="8"/>
  <c r="M17" i="8"/>
  <c r="N17" i="8"/>
  <c r="L17" i="8"/>
  <c r="Q23" i="8" l="1"/>
  <c r="C61" i="11" s="1"/>
  <c r="E59" i="10"/>
  <c r="C37" i="10"/>
  <c r="F61" i="11" s="1"/>
  <c r="C36" i="10"/>
  <c r="F60" i="11" s="1"/>
  <c r="E55" i="10"/>
  <c r="C34" i="10"/>
  <c r="F58" i="11" s="1"/>
  <c r="C32" i="10"/>
  <c r="F56" i="11" s="1"/>
  <c r="C33" i="10"/>
  <c r="F57" i="11" s="1"/>
  <c r="E54" i="10"/>
  <c r="G54" i="10"/>
  <c r="C57" i="10"/>
  <c r="C54" i="10"/>
  <c r="C56" i="10"/>
  <c r="G55" i="10"/>
  <c r="C59" i="10"/>
  <c r="C55" i="10"/>
  <c r="G58" i="10"/>
  <c r="G59" i="10"/>
  <c r="G56" i="10"/>
  <c r="E56" i="10"/>
  <c r="E58" i="10"/>
  <c r="G33" i="10"/>
  <c r="E57" i="11" s="1"/>
  <c r="G34" i="10"/>
  <c r="E58" i="11" s="1"/>
  <c r="G36" i="10"/>
  <c r="E60" i="11" s="1"/>
  <c r="G32" i="10"/>
  <c r="E56" i="11" s="1"/>
  <c r="G37" i="10"/>
  <c r="E61" i="11" s="1"/>
  <c r="E34" i="10"/>
  <c r="G58" i="11" s="1"/>
  <c r="E35" i="10"/>
  <c r="G59" i="11" s="1"/>
  <c r="E32" i="10"/>
  <c r="G56" i="11" s="1"/>
  <c r="E36" i="10"/>
  <c r="G60" i="11" s="1"/>
  <c r="E33" i="10"/>
  <c r="G57" i="11" s="1"/>
  <c r="Q18" i="8"/>
  <c r="C56" i="11" s="1"/>
  <c r="Q19" i="8"/>
  <c r="C57" i="11" s="1"/>
  <c r="P26" i="8"/>
  <c r="Q21" i="8"/>
  <c r="C59" i="11" s="1"/>
  <c r="Q22" i="8"/>
  <c r="C60" i="11" s="1"/>
  <c r="Q20" i="8"/>
  <c r="C58" i="11" s="1"/>
  <c r="H58" i="10" l="1"/>
  <c r="H59" i="10"/>
  <c r="H56" i="10"/>
  <c r="H55" i="10"/>
  <c r="H54" i="10"/>
  <c r="H57" i="10"/>
  <c r="C62" i="11"/>
  <c r="F62" i="11"/>
  <c r="C38" i="10"/>
  <c r="E60" i="10"/>
  <c r="C60" i="10"/>
  <c r="G60" i="10"/>
  <c r="E62" i="11"/>
  <c r="G62" i="11"/>
  <c r="G38" i="10"/>
  <c r="E38" i="10"/>
  <c r="Q26" i="8"/>
  <c r="H60" i="10" l="1"/>
  <c r="I58" i="10" l="1"/>
  <c r="D60" i="11" s="1"/>
  <c r="I54" i="10"/>
  <c r="I59" i="10"/>
  <c r="D61" i="11" s="1"/>
  <c r="I55" i="10"/>
  <c r="D57" i="11" s="1"/>
  <c r="I56" i="10"/>
  <c r="D58" i="11" s="1"/>
  <c r="I57" i="10"/>
  <c r="D59" i="11" s="1"/>
  <c r="E9" i="11"/>
  <c r="B48" i="3" s="1"/>
  <c r="F11" i="11"/>
  <c r="E15" i="4"/>
  <c r="D56" i="11" l="1"/>
  <c r="D62" i="11" s="1"/>
  <c r="I60" i="10"/>
  <c r="B47" i="3"/>
  <c r="F7" i="11" l="1"/>
  <c r="D13" i="4"/>
  <c r="E13" i="4"/>
  <c r="E2" i="11"/>
  <c r="D47" i="3"/>
  <c r="G47" i="3"/>
  <c r="I47" i="3" l="1"/>
  <c r="H47" i="3"/>
  <c r="G48" i="3" l="1"/>
  <c r="D48" i="3"/>
  <c r="G49" i="3"/>
  <c r="G56" i="3"/>
  <c r="G55" i="3"/>
  <c r="G54" i="3"/>
  <c r="G53" i="3"/>
  <c r="G52" i="3"/>
  <c r="G51" i="3"/>
  <c r="G50" i="3"/>
  <c r="G46" i="3"/>
  <c r="E44" i="3"/>
  <c r="B44" i="3"/>
  <c r="D6" i="12"/>
  <c r="C49" i="3" s="1"/>
  <c r="H30" i="18" s="1"/>
  <c r="C50" i="3"/>
  <c r="D2" i="12"/>
  <c r="D50" i="3" l="1"/>
  <c r="G30" i="18"/>
  <c r="D8" i="12"/>
  <c r="G58" i="3"/>
  <c r="I48" i="3"/>
  <c r="I50" i="3"/>
  <c r="H48" i="3"/>
  <c r="H50" i="3"/>
  <c r="C17" i="10" l="1"/>
  <c r="C20" i="10"/>
  <c r="C22" i="10"/>
  <c r="C19" i="10"/>
  <c r="C18" i="10"/>
  <c r="I28" i="6" s="1"/>
  <c r="C21" i="10"/>
  <c r="C58" i="5" l="1"/>
  <c r="C25" i="10"/>
  <c r="I27" i="6"/>
  <c r="C62" i="5"/>
  <c r="I31" i="6"/>
  <c r="C60" i="5"/>
  <c r="I29" i="6"/>
  <c r="C61" i="5"/>
  <c r="I30" i="6"/>
  <c r="C63" i="5"/>
  <c r="I32" i="6"/>
  <c r="C59" i="5"/>
  <c r="C65" i="5" l="1"/>
  <c r="I34" i="6"/>
  <c r="D31" i="8"/>
  <c r="D17" i="8"/>
  <c r="F33" i="8" l="1"/>
  <c r="E28" i="6" s="1"/>
  <c r="F37" i="8"/>
  <c r="E32" i="6" s="1"/>
  <c r="F35" i="8"/>
  <c r="E30" i="6" s="1"/>
  <c r="F34" i="8"/>
  <c r="E29" i="6" s="1"/>
  <c r="F32" i="8"/>
  <c r="E27" i="6" s="1"/>
  <c r="F38" i="8"/>
  <c r="E33" i="6" s="1"/>
  <c r="F36" i="8"/>
  <c r="E31" i="6" s="1"/>
  <c r="F23" i="8"/>
  <c r="F32" i="6" s="1"/>
  <c r="F20" i="8"/>
  <c r="F29" i="6" s="1"/>
  <c r="F22" i="8"/>
  <c r="F31" i="6" s="1"/>
  <c r="F19" i="8"/>
  <c r="F28" i="6" s="1"/>
  <c r="F21" i="8"/>
  <c r="F30" i="6" s="1"/>
  <c r="F18" i="8"/>
  <c r="F27" i="6" s="1"/>
  <c r="F24" i="8"/>
  <c r="F33" i="6" s="1"/>
  <c r="E26" i="8"/>
  <c r="E40" i="8"/>
  <c r="F34" i="6" l="1"/>
  <c r="E34" i="6"/>
  <c r="F26" i="8"/>
  <c r="F40" i="8"/>
  <c r="N5" i="8" l="1"/>
  <c r="Q5" i="8" s="1"/>
  <c r="N6" i="8"/>
  <c r="Q6" i="8" s="1"/>
  <c r="N7" i="8"/>
  <c r="Q7" i="8" s="1"/>
  <c r="N8" i="8"/>
  <c r="Q8" i="8" s="1"/>
  <c r="N9" i="8"/>
  <c r="Q9" i="8" s="1"/>
  <c r="N11" i="8"/>
  <c r="Q11" i="8" s="1"/>
  <c r="N4" i="8"/>
  <c r="Q4" i="8" s="1"/>
  <c r="D3" i="8"/>
  <c r="P12" i="8" l="1"/>
  <c r="N12" i="8"/>
  <c r="R8" i="8" l="1"/>
  <c r="D31" i="6" s="1"/>
  <c r="R7" i="8"/>
  <c r="D30" i="6" s="1"/>
  <c r="R5" i="8"/>
  <c r="D28" i="6" s="1"/>
  <c r="R4" i="8"/>
  <c r="R10" i="8"/>
  <c r="D33" i="6" s="1"/>
  <c r="R9" i="8"/>
  <c r="D32" i="6" s="1"/>
  <c r="R6" i="8"/>
  <c r="D29" i="6" s="1"/>
  <c r="Q12" i="8"/>
  <c r="D27" i="6" l="1"/>
  <c r="R12" i="8"/>
  <c r="D34" i="6" l="1"/>
  <c r="G17" i="7"/>
  <c r="G16" i="7"/>
  <c r="G15" i="7"/>
  <c r="G14" i="7"/>
  <c r="G13" i="7"/>
  <c r="B23" i="7" s="1"/>
  <c r="E23" i="7" s="1"/>
  <c r="G12" i="7"/>
  <c r="G11" i="7"/>
  <c r="B22" i="7" s="1"/>
  <c r="E22" i="7" s="1"/>
  <c r="G10" i="7"/>
  <c r="G9" i="7"/>
  <c r="G8" i="7"/>
  <c r="G7" i="7"/>
  <c r="G6" i="7"/>
  <c r="G5" i="7"/>
  <c r="G4" i="7"/>
  <c r="B20" i="7" s="1"/>
  <c r="G3" i="7"/>
  <c r="B25" i="7" s="1"/>
  <c r="E25" i="7" s="1"/>
  <c r="G2" i="7"/>
  <c r="F11" i="6"/>
  <c r="F10" i="6"/>
  <c r="E7" i="6"/>
  <c r="E17" i="5"/>
  <c r="F17" i="5" s="1"/>
  <c r="F8" i="5"/>
  <c r="E3" i="5"/>
  <c r="G7" i="3"/>
  <c r="B23" i="3" s="1"/>
  <c r="G5" i="3"/>
  <c r="G4" i="3"/>
  <c r="G8" i="3" s="1"/>
  <c r="B24" i="3" s="1"/>
  <c r="E32" i="4"/>
  <c r="D32" i="4"/>
  <c r="D31" i="4"/>
  <c r="E20" i="4"/>
  <c r="D20" i="4"/>
  <c r="E18" i="4"/>
  <c r="D18" i="4"/>
  <c r="E16" i="4"/>
  <c r="D16" i="4"/>
  <c r="E14" i="4"/>
  <c r="D14" i="4"/>
  <c r="E4" i="4"/>
  <c r="D4" i="4"/>
  <c r="E3" i="4"/>
  <c r="D3" i="4"/>
  <c r="C2" i="4"/>
  <c r="B2" i="4"/>
  <c r="D59" i="2"/>
  <c r="E58" i="2"/>
  <c r="D58" i="2"/>
  <c r="E57" i="2"/>
  <c r="D57" i="2"/>
  <c r="E56" i="2"/>
  <c r="D56" i="2"/>
  <c r="E55" i="2"/>
  <c r="E48" i="2"/>
  <c r="E47" i="2"/>
  <c r="D47" i="2"/>
  <c r="E40" i="2"/>
  <c r="D40" i="2"/>
  <c r="E37" i="2"/>
  <c r="D37" i="2"/>
  <c r="E33" i="2"/>
  <c r="D33" i="2"/>
  <c r="E32" i="2"/>
  <c r="D32" i="2"/>
  <c r="D31" i="2"/>
  <c r="E30" i="2"/>
  <c r="D30" i="2"/>
  <c r="E29" i="2"/>
  <c r="D29" i="2"/>
  <c r="E28" i="2"/>
  <c r="D28" i="2"/>
  <c r="E27" i="2"/>
  <c r="D27" i="2"/>
  <c r="E26" i="2"/>
  <c r="D26" i="2"/>
  <c r="D25" i="2"/>
  <c r="E15" i="2"/>
  <c r="D15" i="2"/>
  <c r="D14" i="2"/>
  <c r="E11" i="2"/>
  <c r="D11" i="2"/>
  <c r="E10" i="2"/>
  <c r="D10" i="2"/>
  <c r="E8" i="2"/>
  <c r="D8" i="2"/>
  <c r="C6" i="2"/>
  <c r="B6" i="2"/>
  <c r="E6" i="5" l="1"/>
  <c r="F3" i="5"/>
  <c r="F4" i="5" s="1"/>
  <c r="B21" i="7"/>
  <c r="E21" i="7" s="1"/>
  <c r="B24" i="7"/>
  <c r="B27" i="7" s="1"/>
  <c r="E20" i="7"/>
  <c r="G10" i="3"/>
  <c r="G9" i="3"/>
  <c r="H7" i="6"/>
  <c r="E7" i="2"/>
  <c r="D7" i="2"/>
  <c r="E24" i="7" l="1"/>
  <c r="H14" i="6"/>
  <c r="H13" i="6"/>
  <c r="G12" i="3"/>
  <c r="B28" i="3" s="1"/>
  <c r="B25" i="3"/>
  <c r="G13" i="3"/>
  <c r="B29" i="3" s="1"/>
  <c r="B26" i="3"/>
  <c r="F21" i="6"/>
  <c r="I25" i="6" s="1"/>
  <c r="F18" i="6"/>
  <c r="F25" i="6" s="1"/>
  <c r="F19" i="6"/>
  <c r="G25" i="6" s="1"/>
  <c r="F16" i="6"/>
  <c r="D25" i="6" s="1"/>
  <c r="F20" i="6"/>
  <c r="H25" i="6" s="1"/>
  <c r="F17" i="6"/>
  <c r="E25" i="6" s="1"/>
  <c r="F15" i="6"/>
  <c r="C25" i="6" s="1"/>
  <c r="E27" i="7"/>
  <c r="F14" i="3"/>
  <c r="E14" i="3"/>
  <c r="G11" i="3"/>
  <c r="E8" i="5"/>
  <c r="E7" i="5"/>
  <c r="B5" i="3" s="1"/>
  <c r="F13" i="6" l="1"/>
  <c r="F14" i="6" s="1"/>
  <c r="B25" i="6" s="1"/>
  <c r="G14" i="3"/>
  <c r="B27" i="3"/>
  <c r="F24" i="7"/>
  <c r="F26" i="7"/>
  <c r="F22" i="7"/>
  <c r="F25" i="7"/>
  <c r="F20" i="7"/>
  <c r="F21" i="7"/>
  <c r="F23" i="7"/>
  <c r="F27" i="7" l="1"/>
  <c r="B59" i="5" l="1"/>
  <c r="B58" i="5"/>
  <c r="B61" i="5"/>
  <c r="H27" i="6"/>
  <c r="B60" i="5"/>
  <c r="H32" i="6"/>
  <c r="H28" i="6"/>
  <c r="B62" i="5"/>
  <c r="H30" i="6"/>
  <c r="H29" i="6"/>
  <c r="H31" i="6"/>
  <c r="B63" i="5"/>
  <c r="B65" i="5" l="1"/>
  <c r="H34" i="6"/>
  <c r="B34" i="6" l="1"/>
  <c r="F47" i="11"/>
  <c r="F46" i="11" l="1"/>
  <c r="F50" i="11"/>
  <c r="F49" i="11"/>
  <c r="F48" i="11"/>
  <c r="K59" i="3" l="1"/>
  <c r="N59" i="3"/>
  <c r="B41" i="2" l="1"/>
  <c r="D9" i="18" s="1"/>
  <c r="M9" i="18" l="1"/>
  <c r="E9" i="18" s="1"/>
  <c r="D15" i="18"/>
  <c r="D16" i="18" s="1"/>
  <c r="E41" i="2"/>
  <c r="E5" i="11"/>
  <c r="E6" i="11" s="1"/>
  <c r="D41" i="2"/>
  <c r="E7" i="11" l="1"/>
  <c r="E39" i="2"/>
  <c r="D39" i="2"/>
  <c r="B49" i="3" l="1"/>
  <c r="D49" i="3" s="1"/>
  <c r="H49" i="3" s="1"/>
  <c r="H15" i="18"/>
  <c r="E10" i="11"/>
  <c r="E11" i="11" s="1"/>
  <c r="B46" i="3" s="1"/>
  <c r="D46" i="3" s="1"/>
  <c r="E12" i="11" l="1"/>
  <c r="E45" i="11" s="1"/>
  <c r="E48" i="11" s="1"/>
  <c r="F15" i="18"/>
  <c r="I49" i="3"/>
  <c r="H46" i="3"/>
  <c r="I46" i="3"/>
  <c r="E50" i="11" l="1"/>
  <c r="E52" i="11" s="1"/>
  <c r="G67" i="11" s="1"/>
  <c r="E46" i="11"/>
  <c r="C69" i="11" s="1"/>
  <c r="E49" i="11"/>
  <c r="F67" i="11" s="1"/>
  <c r="E47" i="11"/>
  <c r="D68" i="11" s="1"/>
  <c r="E68" i="11"/>
  <c r="E67" i="11"/>
  <c r="E65" i="11"/>
  <c r="E64" i="11"/>
  <c r="E66" i="11"/>
  <c r="E69" i="11"/>
  <c r="D69" i="11" l="1"/>
  <c r="D64" i="11"/>
  <c r="D65" i="11"/>
  <c r="D66" i="11"/>
  <c r="D67" i="11"/>
  <c r="C66" i="11"/>
  <c r="C68" i="11"/>
  <c r="C64" i="11"/>
  <c r="F66" i="11"/>
  <c r="F68" i="11"/>
  <c r="F65" i="11"/>
  <c r="F69" i="11"/>
  <c r="G64" i="11"/>
  <c r="G65" i="11"/>
  <c r="G69" i="11"/>
  <c r="G68" i="11"/>
  <c r="G66" i="11"/>
  <c r="C67" i="11"/>
  <c r="C65" i="11"/>
  <c r="F64" i="11"/>
  <c r="E70" i="11"/>
  <c r="D70" i="11" l="1"/>
  <c r="H67" i="11"/>
  <c r="L15" i="18" s="1"/>
  <c r="H68" i="11"/>
  <c r="B55" i="3" s="1"/>
  <c r="G70" i="11"/>
  <c r="H69" i="11"/>
  <c r="B56" i="3" s="1"/>
  <c r="F70" i="11"/>
  <c r="H66" i="11"/>
  <c r="B53" i="3" s="1"/>
  <c r="H64" i="11"/>
  <c r="I15" i="18" s="1"/>
  <c r="C70" i="11"/>
  <c r="H65" i="11"/>
  <c r="B52" i="3" s="1"/>
  <c r="B54" i="3" l="1"/>
  <c r="K15" i="18"/>
  <c r="N15" i="18"/>
  <c r="J15" i="18"/>
  <c r="M15" i="18"/>
  <c r="B51" i="3"/>
  <c r="B58" i="3" s="1"/>
  <c r="B59" i="3" s="1"/>
  <c r="H70" i="11"/>
  <c r="E15" i="18" l="1"/>
  <c r="J31" i="6"/>
  <c r="B16" i="12" s="1"/>
  <c r="C16" i="12" s="1"/>
  <c r="C55" i="3" s="1"/>
  <c r="J29" i="6"/>
  <c r="B14" i="12" s="1"/>
  <c r="J27" i="6"/>
  <c r="J33" i="6"/>
  <c r="B18" i="12" s="1"/>
  <c r="J28" i="6"/>
  <c r="B13" i="12" s="1"/>
  <c r="J32" i="6"/>
  <c r="B17" i="12" s="1"/>
  <c r="J30" i="6"/>
  <c r="B15" i="12" s="1"/>
  <c r="D55" i="3" l="1"/>
  <c r="I55" i="3" s="1"/>
  <c r="M34" i="18"/>
  <c r="M30" i="18"/>
  <c r="B13" i="14"/>
  <c r="B14" i="14"/>
  <c r="C17" i="12"/>
  <c r="C56" i="3" s="1"/>
  <c r="C15" i="12"/>
  <c r="C54" i="3" s="1"/>
  <c r="B12" i="14"/>
  <c r="B10" i="14"/>
  <c r="C13" i="12"/>
  <c r="C52" i="3" s="1"/>
  <c r="J34" i="6"/>
  <c r="B12" i="12"/>
  <c r="C18" i="12"/>
  <c r="C57" i="3" s="1"/>
  <c r="B15" i="14"/>
  <c r="B11" i="14"/>
  <c r="C14" i="12"/>
  <c r="C53" i="3" s="1"/>
  <c r="H55" i="3" l="1"/>
  <c r="D52" i="3"/>
  <c r="H52" i="3" s="1"/>
  <c r="J34" i="18"/>
  <c r="J30" i="18"/>
  <c r="D53" i="3"/>
  <c r="I53" i="3" s="1"/>
  <c r="K34" i="18"/>
  <c r="K30" i="18"/>
  <c r="D56" i="3"/>
  <c r="I56" i="3" s="1"/>
  <c r="N34" i="18"/>
  <c r="N30" i="18"/>
  <c r="D57" i="3"/>
  <c r="I57" i="3" s="1"/>
  <c r="O34" i="18"/>
  <c r="O30" i="18"/>
  <c r="D54" i="3"/>
  <c r="I54" i="3" s="1"/>
  <c r="L34" i="18"/>
  <c r="L30" i="18"/>
  <c r="B19" i="12"/>
  <c r="B9" i="14"/>
  <c r="C12" i="12"/>
  <c r="H57" i="3" l="1"/>
  <c r="H53" i="3"/>
  <c r="I52" i="3"/>
  <c r="H56" i="3"/>
  <c r="H54" i="3"/>
  <c r="C19" i="12"/>
  <c r="C51" i="3"/>
  <c r="B16" i="14"/>
  <c r="I34" i="18" l="1"/>
  <c r="E34" i="18" s="1"/>
  <c r="I30" i="18"/>
  <c r="E30" i="18" s="1"/>
  <c r="C13" i="14"/>
  <c r="C10" i="14"/>
  <c r="C12" i="14"/>
  <c r="C11" i="14"/>
  <c r="C58" i="3"/>
  <c r="C59" i="3" s="1"/>
  <c r="D51" i="3"/>
  <c r="C9" i="14"/>
  <c r="D59" i="3" l="1"/>
  <c r="C16" i="14"/>
  <c r="I51" i="3"/>
  <c r="D58" i="3"/>
  <c r="I58" i="3" s="1"/>
  <c r="H51" i="3"/>
  <c r="H58" i="3" s="1"/>
  <c r="D24" i="4" l="1"/>
  <c r="E24" i="4"/>
  <c r="B70" i="3"/>
  <c r="K14" i="3" l="1"/>
  <c r="K15" i="3" s="1"/>
  <c r="B4" i="3"/>
  <c r="G13" i="18" l="1"/>
  <c r="E13" i="18" s="1"/>
  <c r="E20" i="3"/>
  <c r="F12" i="18" s="1"/>
  <c r="F14" i="18" l="1"/>
  <c r="E9" i="5" l="1"/>
  <c r="F9" i="5" s="1"/>
  <c r="B6" i="3" l="1"/>
  <c r="D22" i="3" s="1"/>
  <c r="D30" i="3" s="1"/>
  <c r="E11" i="5"/>
  <c r="D6" i="3" l="1"/>
  <c r="H6" i="3" s="1"/>
  <c r="E13" i="5"/>
  <c r="G17" i="5" s="1"/>
  <c r="E12" i="5"/>
  <c r="I12" i="5" s="1"/>
  <c r="H12" i="5" l="1"/>
  <c r="H25" i="5" s="1"/>
  <c r="J12" i="5"/>
  <c r="H50" i="5" s="1"/>
  <c r="G16" i="5"/>
  <c r="D59" i="5" s="1"/>
  <c r="H21" i="5"/>
  <c r="H26" i="5"/>
  <c r="H24" i="5"/>
  <c r="H27" i="5"/>
  <c r="H22" i="5"/>
  <c r="H34" i="5"/>
  <c r="M34" i="5" s="1"/>
  <c r="H36" i="5"/>
  <c r="M36" i="5" s="1"/>
  <c r="H39" i="5"/>
  <c r="H35" i="5"/>
  <c r="M35" i="5" s="1"/>
  <c r="H37" i="5"/>
  <c r="M37" i="5" s="1"/>
  <c r="H38" i="5"/>
  <c r="H33" i="5"/>
  <c r="H45" i="5"/>
  <c r="H48" i="5"/>
  <c r="M48" i="5" s="1"/>
  <c r="H46" i="5"/>
  <c r="M46" i="5" s="1"/>
  <c r="H49" i="5"/>
  <c r="M49" i="5" s="1"/>
  <c r="H47" i="5"/>
  <c r="M47" i="5" s="1"/>
  <c r="H51" i="5" l="1"/>
  <c r="D62" i="5"/>
  <c r="H23" i="5"/>
  <c r="D60" i="5"/>
  <c r="D58" i="5"/>
  <c r="D63" i="5"/>
  <c r="D64" i="5"/>
  <c r="D61" i="5"/>
  <c r="M33" i="5"/>
  <c r="H40" i="5"/>
  <c r="M40" i="5" s="1"/>
  <c r="M22" i="5"/>
  <c r="I46" i="5"/>
  <c r="B8" i="3" s="1"/>
  <c r="I51" i="5"/>
  <c r="M24" i="5"/>
  <c r="I48" i="5"/>
  <c r="M26" i="5"/>
  <c r="I50" i="5"/>
  <c r="M21" i="5"/>
  <c r="H28" i="5"/>
  <c r="M28" i="5" s="1"/>
  <c r="I45" i="5"/>
  <c r="M23" i="5"/>
  <c r="I47" i="5"/>
  <c r="B9" i="3" s="1"/>
  <c r="M25" i="5"/>
  <c r="I49" i="5"/>
  <c r="B11" i="3" s="1"/>
  <c r="M45" i="5"/>
  <c r="H52" i="5"/>
  <c r="M52" i="5" s="1"/>
  <c r="B10" i="3" l="1"/>
  <c r="D65" i="5"/>
  <c r="B12" i="3"/>
  <c r="B13" i="3"/>
  <c r="B7" i="3"/>
  <c r="I52" i="5"/>
  <c r="B14" i="3" l="1"/>
  <c r="B15" i="3" s="1"/>
  <c r="B25" i="4"/>
  <c r="D33" i="18" l="1"/>
  <c r="E6" i="6"/>
  <c r="E8" i="6" s="1"/>
  <c r="E9" i="6" s="1"/>
  <c r="D35" i="18" s="1"/>
  <c r="D27" i="18"/>
  <c r="D29" i="18" s="1"/>
  <c r="F16" i="14"/>
  <c r="E25" i="4"/>
  <c r="D25" i="4"/>
  <c r="H6" i="6"/>
  <c r="D26" i="18"/>
  <c r="C67" i="3" l="1"/>
  <c r="D67" i="3" s="1"/>
  <c r="C66" i="3"/>
  <c r="D66" i="3" s="1"/>
  <c r="C65" i="3"/>
  <c r="D65" i="3" s="1"/>
  <c r="C68" i="3"/>
  <c r="D68" i="3" s="1"/>
  <c r="I68" i="3" s="1"/>
  <c r="E10" i="6"/>
  <c r="E11" i="6"/>
  <c r="E12" i="6" s="1"/>
  <c r="D31" i="18"/>
  <c r="G16" i="14"/>
  <c r="H10" i="6"/>
  <c r="C5" i="3"/>
  <c r="C4" i="3"/>
  <c r="H11" i="6"/>
  <c r="D36" i="18"/>
  <c r="D37" i="18" s="1"/>
  <c r="C34" i="14" l="1"/>
  <c r="D34" i="14" s="1"/>
  <c r="K68" i="3" s="1"/>
  <c r="L68" i="3" s="1"/>
  <c r="M33" i="18" s="1"/>
  <c r="M26" i="18" s="1"/>
  <c r="H68" i="3"/>
  <c r="C33" i="14"/>
  <c r="D33" i="14" s="1"/>
  <c r="K67" i="3" s="1"/>
  <c r="L67" i="3" s="1"/>
  <c r="C32" i="14"/>
  <c r="D32" i="14" s="1"/>
  <c r="K66" i="3" s="1"/>
  <c r="L66" i="3" s="1"/>
  <c r="C31" i="14"/>
  <c r="D31" i="14" s="1"/>
  <c r="K65" i="3" s="1"/>
  <c r="L65" i="3" s="1"/>
  <c r="E18" i="6"/>
  <c r="F38" i="6" s="1"/>
  <c r="E17" i="6"/>
  <c r="E40" i="6" s="1"/>
  <c r="E22" i="6"/>
  <c r="E19" i="6"/>
  <c r="G41" i="6" s="1"/>
  <c r="E16" i="6"/>
  <c r="D42" i="6" s="1"/>
  <c r="E15" i="6"/>
  <c r="C43" i="6" s="1"/>
  <c r="E20" i="6"/>
  <c r="H44" i="6" s="1"/>
  <c r="E14" i="6"/>
  <c r="B41" i="6" s="1"/>
  <c r="E13" i="6"/>
  <c r="H12" i="6"/>
  <c r="E21" i="6"/>
  <c r="I43" i="6" s="1"/>
  <c r="H66" i="3"/>
  <c r="I66" i="3"/>
  <c r="H43" i="6"/>
  <c r="H41" i="6"/>
  <c r="F20" i="3"/>
  <c r="D4" i="3"/>
  <c r="D5" i="3"/>
  <c r="H5" i="3" s="1"/>
  <c r="I65" i="3"/>
  <c r="H65" i="3"/>
  <c r="I67" i="3"/>
  <c r="H67" i="3"/>
  <c r="C42" i="6"/>
  <c r="M35" i="18" s="1"/>
  <c r="M36" i="18" s="1"/>
  <c r="J41" i="6"/>
  <c r="J40" i="6"/>
  <c r="J42" i="6"/>
  <c r="J38" i="6"/>
  <c r="J43" i="6"/>
  <c r="J39" i="6"/>
  <c r="J44" i="6"/>
  <c r="C30" i="14"/>
  <c r="I16" i="14"/>
  <c r="F44" i="6"/>
  <c r="H39" i="6" l="1"/>
  <c r="F40" i="6"/>
  <c r="E44" i="6"/>
  <c r="B44" i="6"/>
  <c r="B42" i="6"/>
  <c r="E39" i="6"/>
  <c r="E42" i="6"/>
  <c r="E38" i="6"/>
  <c r="H42" i="6"/>
  <c r="F39" i="6"/>
  <c r="G42" i="6"/>
  <c r="B38" i="6"/>
  <c r="F42" i="6"/>
  <c r="K42" i="6" s="1"/>
  <c r="C11" i="3" s="1"/>
  <c r="G44" i="6"/>
  <c r="E41" i="6"/>
  <c r="C41" i="6"/>
  <c r="H38" i="6"/>
  <c r="F43" i="6"/>
  <c r="C39" i="6"/>
  <c r="J35" i="18" s="1"/>
  <c r="J36" i="18" s="1"/>
  <c r="D44" i="6"/>
  <c r="F41" i="6"/>
  <c r="C38" i="6"/>
  <c r="C45" i="6" s="1"/>
  <c r="D38" i="6"/>
  <c r="C40" i="6"/>
  <c r="C44" i="6"/>
  <c r="O35" i="18" s="1"/>
  <c r="O36" i="18" s="1"/>
  <c r="H40" i="6"/>
  <c r="H45" i="6" s="1"/>
  <c r="I39" i="6"/>
  <c r="I41" i="6"/>
  <c r="I42" i="6"/>
  <c r="D43" i="6"/>
  <c r="I40" i="6"/>
  <c r="D39" i="6"/>
  <c r="G38" i="6"/>
  <c r="D40" i="6"/>
  <c r="G43" i="6"/>
  <c r="D41" i="6"/>
  <c r="G39" i="6"/>
  <c r="E43" i="6"/>
  <c r="B40" i="6"/>
  <c r="I38" i="6"/>
  <c r="B43" i="6"/>
  <c r="G40" i="6"/>
  <c r="I44" i="6"/>
  <c r="B39" i="6"/>
  <c r="J45" i="6"/>
  <c r="J33" i="18"/>
  <c r="J26" i="18" s="1"/>
  <c r="K33" i="18"/>
  <c r="K26" i="18" s="1"/>
  <c r="I4" i="3"/>
  <c r="H4" i="3"/>
  <c r="G20" i="3"/>
  <c r="D30" i="14"/>
  <c r="C35" i="14"/>
  <c r="J16" i="14"/>
  <c r="C64" i="3"/>
  <c r="L33" i="18"/>
  <c r="L26" i="18" s="1"/>
  <c r="K38" i="6" l="1"/>
  <c r="K43" i="6"/>
  <c r="C12" i="3" s="1"/>
  <c r="D12" i="3" s="1"/>
  <c r="F35" i="18"/>
  <c r="F27" i="18" s="1"/>
  <c r="K44" i="6"/>
  <c r="C13" i="3" s="1"/>
  <c r="D13" i="3" s="1"/>
  <c r="F45" i="6"/>
  <c r="K40" i="6"/>
  <c r="C9" i="3" s="1"/>
  <c r="D9" i="3" s="1"/>
  <c r="C25" i="3" s="1"/>
  <c r="K41" i="6"/>
  <c r="C10" i="3" s="1"/>
  <c r="D10" i="3" s="1"/>
  <c r="G45" i="6"/>
  <c r="D45" i="6"/>
  <c r="B45" i="6"/>
  <c r="E45" i="6"/>
  <c r="I45" i="6"/>
  <c r="K39" i="6"/>
  <c r="C8" i="3" s="1"/>
  <c r="D8" i="3" s="1"/>
  <c r="D64" i="3"/>
  <c r="C69" i="3"/>
  <c r="C70" i="3" s="1"/>
  <c r="D35" i="14"/>
  <c r="K64" i="3"/>
  <c r="K69" i="3" s="1"/>
  <c r="K70" i="3" s="1"/>
  <c r="A61" i="3" s="1"/>
  <c r="E35" i="18"/>
  <c r="F36" i="18"/>
  <c r="E36" i="18" s="1"/>
  <c r="F29" i="18"/>
  <c r="I20" i="3"/>
  <c r="H20" i="3"/>
  <c r="C7" i="3"/>
  <c r="D11" i="3"/>
  <c r="H9" i="3" l="1"/>
  <c r="I9" i="3"/>
  <c r="K45" i="6"/>
  <c r="H11" i="3"/>
  <c r="I11" i="3"/>
  <c r="C27" i="3"/>
  <c r="I13" i="3"/>
  <c r="C29" i="3"/>
  <c r="H13" i="3"/>
  <c r="E25" i="3"/>
  <c r="F25" i="3"/>
  <c r="K27" i="18" s="1"/>
  <c r="K29" i="18" s="1"/>
  <c r="D7" i="3"/>
  <c r="C14" i="3"/>
  <c r="C15" i="3" s="1"/>
  <c r="D15" i="3" s="1"/>
  <c r="I12" i="3"/>
  <c r="C28" i="3"/>
  <c r="H12" i="3"/>
  <c r="H8" i="3"/>
  <c r="C24" i="3"/>
  <c r="I8" i="3"/>
  <c r="H10" i="3"/>
  <c r="C26" i="3"/>
  <c r="I10" i="3"/>
  <c r="D69" i="3"/>
  <c r="I69" i="3" s="1"/>
  <c r="I64" i="3"/>
  <c r="H64" i="3"/>
  <c r="H69" i="3" s="1"/>
  <c r="L64" i="3"/>
  <c r="E26" i="3" l="1"/>
  <c r="F26" i="3"/>
  <c r="L27" i="18" s="1"/>
  <c r="L29" i="18" s="1"/>
  <c r="E27" i="3"/>
  <c r="F27" i="3"/>
  <c r="M27" i="18" s="1"/>
  <c r="M29" i="18" s="1"/>
  <c r="E28" i="3"/>
  <c r="F28" i="3"/>
  <c r="N27" i="18" s="1"/>
  <c r="N29" i="18" s="1"/>
  <c r="H7" i="3"/>
  <c r="H14" i="3" s="1"/>
  <c r="C23" i="3"/>
  <c r="I7" i="3"/>
  <c r="D14" i="3"/>
  <c r="I14" i="3" s="1"/>
  <c r="E29" i="3"/>
  <c r="F29" i="3"/>
  <c r="O27" i="18" s="1"/>
  <c r="O29" i="18" s="1"/>
  <c r="L69" i="3"/>
  <c r="I33" i="18"/>
  <c r="E33" i="18" s="1"/>
  <c r="E37" i="18" s="1"/>
  <c r="K12" i="18"/>
  <c r="K14" i="18" s="1"/>
  <c r="G25" i="3"/>
  <c r="E24" i="3"/>
  <c r="F24" i="3"/>
  <c r="J27" i="18" s="1"/>
  <c r="J29" i="18" s="1"/>
  <c r="I26" i="18" l="1"/>
  <c r="E26" i="18" s="1"/>
  <c r="E23" i="3"/>
  <c r="C21" i="3"/>
  <c r="F23" i="3"/>
  <c r="I27" i="18" s="1"/>
  <c r="I29" i="18" s="1"/>
  <c r="G28" i="3"/>
  <c r="N12" i="18"/>
  <c r="N14" i="18" s="1"/>
  <c r="J12" i="18"/>
  <c r="J14" i="18" s="1"/>
  <c r="G24" i="3"/>
  <c r="I25" i="3"/>
  <c r="H25" i="3"/>
  <c r="M12" i="18"/>
  <c r="M14" i="18" s="1"/>
  <c r="G27" i="3"/>
  <c r="G29" i="3"/>
  <c r="O12" i="18"/>
  <c r="O14" i="18" s="1"/>
  <c r="L12" i="18"/>
  <c r="L14" i="18" s="1"/>
  <c r="G26" i="3"/>
  <c r="H24" i="3" l="1"/>
  <c r="I24" i="3"/>
  <c r="H29" i="3"/>
  <c r="I29" i="3"/>
  <c r="H27" i="3"/>
  <c r="I27" i="3"/>
  <c r="I28" i="3"/>
  <c r="H28" i="3"/>
  <c r="E21" i="3"/>
  <c r="F21" i="3"/>
  <c r="I26" i="3"/>
  <c r="H26" i="3"/>
  <c r="G23" i="3"/>
  <c r="I12" i="18"/>
  <c r="I14" i="18" s="1"/>
  <c r="H23" i="3" l="1"/>
  <c r="I23" i="3"/>
  <c r="G12" i="18"/>
  <c r="G21" i="3"/>
  <c r="E30" i="3"/>
  <c r="E31" i="3" s="1"/>
  <c r="G27" i="18"/>
  <c r="F30" i="3"/>
  <c r="F31" i="3" s="1"/>
  <c r="G29" i="18" l="1"/>
  <c r="E29" i="18" s="1"/>
  <c r="E27" i="18"/>
  <c r="G31" i="3"/>
  <c r="H21" i="3"/>
  <c r="H30" i="3" s="1"/>
  <c r="G30" i="3"/>
  <c r="I30" i="3" s="1"/>
  <c r="G14" i="18"/>
  <c r="E14" i="18" s="1"/>
  <c r="E12" i="18"/>
  <c r="E16" i="18" l="1"/>
  <c r="E31" i="18"/>
</calcChain>
</file>

<file path=xl/sharedStrings.xml><?xml version="1.0" encoding="utf-8"?>
<sst xmlns="http://schemas.openxmlformats.org/spreadsheetml/2006/main" count="1451" uniqueCount="728">
  <si>
    <t>Predkladá:</t>
  </si>
  <si>
    <t>Vypracoval:</t>
  </si>
  <si>
    <t>Sumare</t>
  </si>
  <si>
    <t>07711-mzdy</t>
  </si>
  <si>
    <t>07712-DoktStip</t>
  </si>
  <si>
    <t>KA</t>
  </si>
  <si>
    <t>Stav</t>
  </si>
  <si>
    <t>Zalozka</t>
  </si>
  <si>
    <t>Poradie</t>
  </si>
  <si>
    <t>ToDo</t>
  </si>
  <si>
    <t>ok</t>
  </si>
  <si>
    <t>VstupySR</t>
  </si>
  <si>
    <t>preniest hodnoty z minuleho roku do prislusneho stlpca</t>
  </si>
  <si>
    <t>vlozit nove hodnoty z aktualneho roku</t>
  </si>
  <si>
    <t>VstupyUPJS</t>
  </si>
  <si>
    <t>premysliet valorizaciu</t>
  </si>
  <si>
    <t>vykony podla studentov</t>
  </si>
  <si>
    <t>prenosy podla AiS2 (pozor na zmeny koeficientov)  nezabudnut na GM a ZM (pre FF neprenasat vykon)</t>
  </si>
  <si>
    <t>07711-TaS</t>
  </si>
  <si>
    <t>Celouniverzitne specifika</t>
  </si>
  <si>
    <t>Z ministerskej tabulky preniest sumy podla jednotlivych kriterii</t>
  </si>
  <si>
    <t>07712-TaS</t>
  </si>
  <si>
    <t>nic</t>
  </si>
  <si>
    <t>skontrolovat pocet SP na 3. stupni</t>
  </si>
  <si>
    <t>nastavit vysku stipendia, premysliet valorizaciu</t>
  </si>
  <si>
    <t>existujuci doktorandi (vratane vracajucich sa po preruseni) - samostatny vypocet</t>
  </si>
  <si>
    <t>07715-Stip</t>
  </si>
  <si>
    <t>aktulizovat z ministerskej tabulky</t>
  </si>
  <si>
    <t>odborove stipko - prehlad aj pre studijne oddelenia PF, FF, LF</t>
  </si>
  <si>
    <t>Granty</t>
  </si>
  <si>
    <t>Aktualizovat podla ministerskych zdrojov</t>
  </si>
  <si>
    <t>Pozor na projekty TIPu</t>
  </si>
  <si>
    <t>Vykony</t>
  </si>
  <si>
    <t>dopracovat KIVC</t>
  </si>
  <si>
    <t>umelecka cinnost</t>
  </si>
  <si>
    <t>publikacna cinnost - univerzitne prejst podla crepc</t>
  </si>
  <si>
    <t>publikacna cinnost - skontrolovat TIP</t>
  </si>
  <si>
    <t>vykony</t>
  </si>
  <si>
    <t>preniest hodnoty z ministerskej tabulky</t>
  </si>
  <si>
    <t>cudzinci, mobility</t>
  </si>
  <si>
    <t>doktorandi po dizertacnej skuske</t>
  </si>
  <si>
    <t>Rok</t>
  </si>
  <si>
    <t>Dátum</t>
  </si>
  <si>
    <t>pomriadok</t>
  </si>
  <si>
    <t>Údaje z rozpisu dotácie pre UPJŠ</t>
  </si>
  <si>
    <t>Kontrola</t>
  </si>
  <si>
    <t>december</t>
  </si>
  <si>
    <t>final</t>
  </si>
  <si>
    <t>Rozdiel</t>
  </si>
  <si>
    <t>Popis</t>
  </si>
  <si>
    <t>Podiel</t>
  </si>
  <si>
    <t>Zdroj</t>
  </si>
  <si>
    <t>Mzdy, odvody, TaS spolu 07711 a 0771201</t>
  </si>
  <si>
    <t xml:space="preserve">   07711 valorizácia</t>
  </si>
  <si>
    <t xml:space="preserve">   07711 TaS </t>
  </si>
  <si>
    <t xml:space="preserve">   07711 záloha na klinické pracoviská</t>
  </si>
  <si>
    <t xml:space="preserve">   07712 - bežné dotácie</t>
  </si>
  <si>
    <t xml:space="preserve">      07712 - špičkové tímy</t>
  </si>
  <si>
    <t xml:space="preserve">     00712 - valorizácia bez doktorandov (aj odvody)</t>
  </si>
  <si>
    <t xml:space="preserve">     00712 - valorizácia doktorandi</t>
  </si>
  <si>
    <t xml:space="preserve">   07713 - bežná dotácia na rozvoj</t>
  </si>
  <si>
    <t>ŠDaJ</t>
  </si>
  <si>
    <t>0771501 -preddavok na soc. štipendiá</t>
  </si>
  <si>
    <t>0771502 - motivačné štipendiá pre vybrané ŠO</t>
  </si>
  <si>
    <t>0771502 - motivačné štipendiá zakladné</t>
  </si>
  <si>
    <t>0771503 odvody 35,2%</t>
  </si>
  <si>
    <t>0771503 TaS pre ŠD</t>
  </si>
  <si>
    <t xml:space="preserve">0771503 preddavok na príspevky na jedlá </t>
  </si>
  <si>
    <t>0771503 kult.,šport, UPC, špec.</t>
  </si>
  <si>
    <t>0771503 TJ-šport</t>
  </si>
  <si>
    <t>Špecifiká</t>
  </si>
  <si>
    <t>suma nasledujucich riadkov</t>
  </si>
  <si>
    <t>T13-sumár-špec - H6</t>
  </si>
  <si>
    <t>07711 TaS (špecifiká)</t>
  </si>
  <si>
    <t xml:space="preserve">     BZ</t>
  </si>
  <si>
    <t>T13-sumár-špec - F6</t>
  </si>
  <si>
    <t xml:space="preserve">     Pg praxe</t>
  </si>
  <si>
    <t>T13-sumár-špec - J6</t>
  </si>
  <si>
    <t xml:space="preserve">     Rozbory v odbore sociálna práca</t>
  </si>
  <si>
    <t>T13-sumár-špec - K6</t>
  </si>
  <si>
    <t xml:space="preserve">     Výdavky na podporu študentov so špecifickými potrebami</t>
  </si>
  <si>
    <t>T13-sumár-špec - L6</t>
  </si>
  <si>
    <t>Podiely vo výkonových zložkách</t>
  </si>
  <si>
    <t>T7-mzdy - F5</t>
  </si>
  <si>
    <t>T7-mzdy - H5</t>
  </si>
  <si>
    <t>T7-mzdy - I5</t>
  </si>
  <si>
    <t>T14-VVZ - F6</t>
  </si>
  <si>
    <t>T14-VVZ - J6</t>
  </si>
  <si>
    <t>T14-VVZ - S6</t>
  </si>
  <si>
    <t>Údaje podľa pravidiel na UPJŠ</t>
  </si>
  <si>
    <t>07711 - mzdy - rektorát - percento</t>
  </si>
  <si>
    <t>07711 - mzdy - rozvojový fond - percento</t>
  </si>
  <si>
    <t>07711 - mzdy - stabilizačný fond SFa - suma na doc. bez DrSc.</t>
  </si>
  <si>
    <t>07711 - mzdy - stabilizačný fond SFa - suma na doc. s DrSc.</t>
  </si>
  <si>
    <t>07711 - mzdy - stabilizačný fond SFa - suma na prof. bez DrSc.</t>
  </si>
  <si>
    <t>07711 - mzdy - stabilizačný fond SFa - suma na prof. s DrSc.</t>
  </si>
  <si>
    <t>07711 - mzdy - stabilizačný fond SFc</t>
  </si>
  <si>
    <t>Mzdy 07711+07712 - GM</t>
  </si>
  <si>
    <t>Úprva koeficientu intenzity tvorivej činnosti (KIVČ)</t>
  </si>
  <si>
    <t>07711 - TaS - havarijný fond - percento</t>
  </si>
  <si>
    <t>07711 - TaS - rektorát - percento</t>
  </si>
  <si>
    <t>07711 - TaS - energie</t>
  </si>
  <si>
    <t>07712 - TaS</t>
  </si>
  <si>
    <t xml:space="preserve">    zodpovedá % z 07712</t>
  </si>
  <si>
    <t>07712 - TaS - Rozvojový fond</t>
  </si>
  <si>
    <t xml:space="preserve">    zodpovedá % z 07712 - TaS</t>
  </si>
  <si>
    <t>07712 - TaS - havarijný fond</t>
  </si>
  <si>
    <t>07712 - štipendiá noví doktorandi</t>
  </si>
  <si>
    <t>07712 - podiel KA na výkone KA+6r  (0 % podla metodiky)</t>
  </si>
  <si>
    <t xml:space="preserve">             mzdy</t>
  </si>
  <si>
    <t xml:space="preserve">             odvody</t>
  </si>
  <si>
    <t>07712 - mzdy - rektorát - percento</t>
  </si>
  <si>
    <t>07712 - mzdy - fond rektora - percento</t>
  </si>
  <si>
    <t>0771502 - štipendiá motivačné základné - cena rektora - percento</t>
  </si>
  <si>
    <t>valorizácia</t>
  </si>
  <si>
    <t>MZDY</t>
  </si>
  <si>
    <t>Nárast/pokles</t>
  </si>
  <si>
    <t>07711 mzdy</t>
  </si>
  <si>
    <t>07712 mzdy</t>
  </si>
  <si>
    <t>mzdy SPOLU</t>
  </si>
  <si>
    <t>Absolútny</t>
  </si>
  <si>
    <t>Percentuálny</t>
  </si>
  <si>
    <t>Rektorát</t>
  </si>
  <si>
    <t>SFa</t>
  </si>
  <si>
    <t>LF</t>
  </si>
  <si>
    <t>PF</t>
  </si>
  <si>
    <t>PrávF</t>
  </si>
  <si>
    <t>FVS</t>
  </si>
  <si>
    <t>FF</t>
  </si>
  <si>
    <t>ÚTVaŠ</t>
  </si>
  <si>
    <t>TIP</t>
  </si>
  <si>
    <t>Celkom</t>
  </si>
  <si>
    <t>Zaokruhlovanie</t>
  </si>
  <si>
    <t>GM UPJŠ</t>
  </si>
  <si>
    <t>GM</t>
  </si>
  <si>
    <t>úprava RF</t>
  </si>
  <si>
    <t>mzdy final</t>
  </si>
  <si>
    <t>Percent. final</t>
  </si>
  <si>
    <t xml:space="preserve">SFa </t>
  </si>
  <si>
    <t>Špičkové tímy</t>
  </si>
  <si>
    <t>Skratka</t>
  </si>
  <si>
    <t>Fakulta</t>
  </si>
  <si>
    <t>Príspevok 23</t>
  </si>
  <si>
    <t>Príspevok 22</t>
  </si>
  <si>
    <t>BioAktiv</t>
  </si>
  <si>
    <t>EXTASY</t>
  </si>
  <si>
    <t>QMAGNA</t>
  </si>
  <si>
    <t>KOSDIM</t>
  </si>
  <si>
    <t>OST</t>
  </si>
  <si>
    <t>TRIANGEL</t>
  </si>
  <si>
    <t>SPOLU</t>
  </si>
  <si>
    <t>úprava</t>
  </si>
  <si>
    <t>TaS</t>
  </si>
  <si>
    <t>07711 TaS</t>
  </si>
  <si>
    <t>07712 TaS</t>
  </si>
  <si>
    <t>TaS SPOLU</t>
  </si>
  <si>
    <t>Energie</t>
  </si>
  <si>
    <t>Špecifiká UPJŠ</t>
  </si>
  <si>
    <t>HF</t>
  </si>
  <si>
    <t>RF</t>
  </si>
  <si>
    <t>Štipendiá doktorandské</t>
  </si>
  <si>
    <t>existujúci</t>
  </si>
  <si>
    <t>noví</t>
  </si>
  <si>
    <t>spolu</t>
  </si>
  <si>
    <t>Štipendiá motivačné</t>
  </si>
  <si>
    <t>základné</t>
  </si>
  <si>
    <t>vybrané ŠO</t>
  </si>
  <si>
    <t>Cena rektora</t>
  </si>
  <si>
    <t>Rozpis dotácie na mzdy podprogramu 07711</t>
  </si>
  <si>
    <t>Špecifiká 07711 mzdy</t>
  </si>
  <si>
    <t>Na základe pg výkonu</t>
  </si>
  <si>
    <t>Na základe PC a UC</t>
  </si>
  <si>
    <t>Na základe výkonov spolu</t>
  </si>
  <si>
    <t>Rozvojový fond</t>
  </si>
  <si>
    <t>Stabilizačný fond</t>
  </si>
  <si>
    <t>Level 1</t>
  </si>
  <si>
    <t>Level 2</t>
  </si>
  <si>
    <t>Level 3</t>
  </si>
  <si>
    <t>Zostatok na fakulty a ÚTVaŠ spolu</t>
  </si>
  <si>
    <t>v tom pg výkon (podľa KIVČ)</t>
  </si>
  <si>
    <t>v tom výkon za PC a UC</t>
  </si>
  <si>
    <t>Výkon za PC a UC - rozdelenie</t>
  </si>
  <si>
    <t>Váha</t>
  </si>
  <si>
    <t>Podiel UPJŠ (%)</t>
  </si>
  <si>
    <t>Delená suma</t>
  </si>
  <si>
    <t>v rozpise SR</t>
  </si>
  <si>
    <t>Podiel na publikačnej činnosti</t>
  </si>
  <si>
    <t>Podiel na umeleckej činnosti</t>
  </si>
  <si>
    <t>T14-VVZ - AH26, AI26</t>
  </si>
  <si>
    <t>Rozpis na základe pg výkonov</t>
  </si>
  <si>
    <t>Odpočítať 
výkon 
I. stupeň</t>
  </si>
  <si>
    <t>Pripočítať 
výkon
I. stupeň</t>
  </si>
  <si>
    <t>Výkon 
po KITČ 
I. stupeň</t>
  </si>
  <si>
    <t>Podiel na výkone 
I. stupeň</t>
  </si>
  <si>
    <t>Podľa 
výkonu
I. stupeň</t>
  </si>
  <si>
    <t>Odpočítať 
výkon 
II. stupeň</t>
  </si>
  <si>
    <t>Pripočítať 
výkon
II. stupeň</t>
  </si>
  <si>
    <t>Výkon 
po KITČ 
II. stupeň</t>
  </si>
  <si>
    <t>Podiel na výkone 
II. stupeň</t>
  </si>
  <si>
    <t>Podľa 
výkonu
II. stupeň</t>
  </si>
  <si>
    <t>Odpočítať 
výkon 
III. stupeň</t>
  </si>
  <si>
    <t>Pripočítať 
výkon
III. stupeň</t>
  </si>
  <si>
    <t>Výkon 
po KITČ 
III. stupeň</t>
  </si>
  <si>
    <t>Podiel na výkone 
III. stupeň</t>
  </si>
  <si>
    <t>Podľa 
výkonu
III. stupeň</t>
  </si>
  <si>
    <t>Podľa 
výkonu
spolu</t>
  </si>
  <si>
    <t>Odpočítať/Pripočítať výkon</t>
  </si>
  <si>
    <t>Rozpis na základe výkonov v PC a UC</t>
  </si>
  <si>
    <t>Výkon PČ</t>
  </si>
  <si>
    <t>Výkon UČ</t>
  </si>
  <si>
    <t>Pridelená 
suma</t>
  </si>
  <si>
    <t>Stabilizačný fond (a) - použitie (podľa funkčných miest, 100% úväzok)</t>
  </si>
  <si>
    <t>SFb</t>
  </si>
  <si>
    <t>prof., DrSc.</t>
  </si>
  <si>
    <t>prof.</t>
  </si>
  <si>
    <t>doc. DrSc.</t>
  </si>
  <si>
    <t>doc.</t>
  </si>
  <si>
    <t>Rozpis dotácie na TaS 07711</t>
  </si>
  <si>
    <t>Pridelená suma</t>
  </si>
  <si>
    <t>Špecifiká 07711 TaS (BZ, pg praxe, rozbory SP, ...)</t>
  </si>
  <si>
    <t>Zostatok</t>
  </si>
  <si>
    <t>Havarijný fond</t>
  </si>
  <si>
    <t>Celouniverzitné špecifiká</t>
  </si>
  <si>
    <t>Zostatok pre prerozdelenie pre všetky OJ</t>
  </si>
  <si>
    <t>Rektorát a univerzitné pracoviská</t>
  </si>
  <si>
    <t>Zostatok na fakulty a ÚTVaŠ</t>
  </si>
  <si>
    <t>Vlani</t>
  </si>
  <si>
    <t>Univerzitná knižnica - obnova knižničného fondu</t>
  </si>
  <si>
    <t>Daň z nehnuteľnosti</t>
  </si>
  <si>
    <t>Poistenie majetku a motorových vozidiel</t>
  </si>
  <si>
    <t>Licenčné poplatky IS (CardPay, ASPI, ALEPH, ORACLE, 
                             X-server, FORBIS, GPS, dochádzkový systém,  
                             antiplagiatorský SW, ...)</t>
  </si>
  <si>
    <t>Licencie antivirus - refundácia</t>
  </si>
  <si>
    <t>Poplatok za komunálny a separovany odpad</t>
  </si>
  <si>
    <t>Poplatky (notárske, ...)</t>
  </si>
  <si>
    <t>Poistenie ZPC</t>
  </si>
  <si>
    <t>Správa centrálnych posluchární</t>
  </si>
  <si>
    <t>AIS</t>
  </si>
  <si>
    <t>Portál projektov</t>
  </si>
  <si>
    <t>Certifikácia RDSS</t>
  </si>
  <si>
    <t>Podpora manažovania zahraničných projektov (CCVaPP)</t>
  </si>
  <si>
    <t>IKT - upgrade SW, HW centrálnej infraštruktúry</t>
  </si>
  <si>
    <t>Univerzitné záujmové združenia (CHUŠ, Šturko, UNI-TV, Hornád, študentské spolky)</t>
  </si>
  <si>
    <t>Podpora jazykovej prípravy (zahraniční študenti)</t>
  </si>
  <si>
    <t>Prezentácia osobnosti P. J. Šafárika (Kobeliarovo)</t>
  </si>
  <si>
    <t>Správa dátového centra Medipark</t>
  </si>
  <si>
    <t>Podpora mediálnej prezentácie univerzity</t>
  </si>
  <si>
    <t>Nájom PF - SENZOR</t>
  </si>
  <si>
    <t>Korekcie EŠIF projektov, splátka pôžičky (požiar M11)</t>
  </si>
  <si>
    <t>Poplatok za akreditáciu a registráciu VSK</t>
  </si>
  <si>
    <t>Virtuálna študovňa UK  - ročná licencia</t>
  </si>
  <si>
    <t>Výkon fakúlt a ÚTVaŠ</t>
  </si>
  <si>
    <t>podiel</t>
  </si>
  <si>
    <t>Rozpis podľa zahraničných grantov</t>
  </si>
  <si>
    <t>T8-TaS - E6</t>
  </si>
  <si>
    <t>Rozpis podľa osobitných kritérií na mobility</t>
  </si>
  <si>
    <t>T8-TaS - F6</t>
  </si>
  <si>
    <t>Rozpis podľa osobitných kritérií pre VŠO</t>
  </si>
  <si>
    <t>T8-TaS - G6</t>
  </si>
  <si>
    <t xml:space="preserve">Rozpis podľa TaS na vzdelávaciu činnosť (PPŠ*KO)    
</t>
  </si>
  <si>
    <t>Rozpis podľa TaS na prevádzku (PPŠ)</t>
  </si>
  <si>
    <t xml:space="preserve">      V tom základný príspevok </t>
  </si>
  <si>
    <t>T8-TaS - I6</t>
  </si>
  <si>
    <t xml:space="preserve">      Zostatok na (PPŠ)</t>
  </si>
  <si>
    <t>Podiely na základe výkonov</t>
  </si>
  <si>
    <t>Základný príspevok</t>
  </si>
  <si>
    <t>Podľa zahraničných granotv</t>
  </si>
  <si>
    <t>Podľa osobitných kritérií na mobility</t>
  </si>
  <si>
    <t>Podľa osobitných kritérií pre VŠO</t>
  </si>
  <si>
    <t>Podľa TaS na vzdelávaciu činnosť (PPŠ*KO)</t>
  </si>
  <si>
    <t>Podľa TaS na prevádzku (PPŠ)</t>
  </si>
  <si>
    <t>Rozpis na základe výkonov</t>
  </si>
  <si>
    <t>Rozpis dotácie na mzdy podprogramu 07712</t>
  </si>
  <si>
    <t>Z toho na</t>
  </si>
  <si>
    <t xml:space="preserve">    štipendiá doktorandov</t>
  </si>
  <si>
    <t xml:space="preserve">    TaS</t>
  </si>
  <si>
    <t>Zostatok na mzdy a odvody</t>
  </si>
  <si>
    <t>V tom mzdy</t>
  </si>
  <si>
    <t>V rozpočte SR</t>
  </si>
  <si>
    <t xml:space="preserve">   DG (SR 9 %)</t>
  </si>
  <si>
    <t xml:space="preserve">   VČiS (SR 3 %)</t>
  </si>
  <si>
    <r>
      <t xml:space="preserve">   ZG (SR </t>
    </r>
    <r>
      <rPr>
        <sz val="12"/>
        <rFont val="Calibri"/>
        <family val="2"/>
        <charset val="238"/>
        <scheme val="minor"/>
      </rPr>
      <t>10 %</t>
    </r>
    <r>
      <rPr>
        <sz val="12"/>
        <color theme="1"/>
        <rFont val="Calibri"/>
        <family val="2"/>
        <charset val="238"/>
        <scheme val="minor"/>
      </rPr>
      <t>)</t>
    </r>
  </si>
  <si>
    <t xml:space="preserve">   Dokt. po dizert. skúške (SR 10 %)</t>
  </si>
  <si>
    <t xml:space="preserve">   PČ (SR 22,5 %)</t>
  </si>
  <si>
    <t xml:space="preserve">   UČ (SR 2,5 %)</t>
  </si>
  <si>
    <t>Podiely vo výkonoch</t>
  </si>
  <si>
    <t>Podiel Excelenté</t>
  </si>
  <si>
    <t>Podiel 
DG</t>
  </si>
  <si>
    <t>Podiel 
VČiS</t>
  </si>
  <si>
    <t>Podiel 
ZG</t>
  </si>
  <si>
    <t>Podiel 
Dokt</t>
  </si>
  <si>
    <t>Podiel 
PČ</t>
  </si>
  <si>
    <t>Podiel 
UČ</t>
  </si>
  <si>
    <t>Pridelená suma podľa výkonov</t>
  </si>
  <si>
    <t>Rozpis dotácie na TaS 07712</t>
  </si>
  <si>
    <t>Vyčlenená suma v rozpočte UPJŠ</t>
  </si>
  <si>
    <t xml:space="preserve">V tom </t>
  </si>
  <si>
    <t xml:space="preserve">   Rozvojový fond</t>
  </si>
  <si>
    <t xml:space="preserve">   Havarijný fond</t>
  </si>
  <si>
    <t xml:space="preserve">   Rektorát</t>
  </si>
  <si>
    <t>Pridelené</t>
  </si>
  <si>
    <t>Rozpis dotácie na doktorandské štipendium 07712</t>
  </si>
  <si>
    <t>Výška štipendia pred dizertačnou skúškou (6. tr.)</t>
  </si>
  <si>
    <t>Výška štipendia po dizertačnej skúške (7. tr.)</t>
  </si>
  <si>
    <t>počet</t>
  </si>
  <si>
    <t>mesiace</t>
  </si>
  <si>
    <t>Neúčelová dotácia na nových doktorandov</t>
  </si>
  <si>
    <t>Noví doktorandi</t>
  </si>
  <si>
    <t>Výkon vo vede</t>
  </si>
  <si>
    <t>Iba fakulty</t>
  </si>
  <si>
    <t>Počet programov denná forma</t>
  </si>
  <si>
    <t>Pridelené miesta spolu</t>
  </si>
  <si>
    <t>https://www.upjs.sk/vyskum/vedeckovyskumna-cinnost/doktorandsky-portal/doktorandske-studium/</t>
  </si>
  <si>
    <r>
      <t xml:space="preserve">Existujúci doktorandi financovaní z dotácie </t>
    </r>
    <r>
      <rPr>
        <sz val="12"/>
        <color theme="1"/>
        <rFont val="Calibri"/>
        <family val="2"/>
        <charset val="238"/>
        <scheme val="minor"/>
      </rPr>
      <t>(pozri samostatný súbor)</t>
    </r>
  </si>
  <si>
    <t>Študento mesiacov
6.tr.</t>
  </si>
  <si>
    <t>Študento mesiacov
7.tr.</t>
  </si>
  <si>
    <t>Suma na 2+ štipendiá</t>
  </si>
  <si>
    <t>Noví</t>
  </si>
  <si>
    <t>Suma na valorizáciu</t>
  </si>
  <si>
    <t>LF UPJŠ</t>
  </si>
  <si>
    <t>PF UPJŠ</t>
  </si>
  <si>
    <t>PrF UPJŠ</t>
  </si>
  <si>
    <t>FVS UPJŠ</t>
  </si>
  <si>
    <t>FF UPJŠ</t>
  </si>
  <si>
    <t>Zvýšenie 6PT</t>
  </si>
  <si>
    <t>Zvýšenie 7PT</t>
  </si>
  <si>
    <t>Rozpis dotácie na motivačné štipendium 0771502</t>
  </si>
  <si>
    <t>Motivačné štipendium základné</t>
  </si>
  <si>
    <t>Zoznam programov s motivačným odborovým štipendiom (T5b-studenti - stĺpec AP)</t>
  </si>
  <si>
    <t xml:space="preserve">    Pridelená dotácia</t>
  </si>
  <si>
    <t>fakulta</t>
  </si>
  <si>
    <t>program</t>
  </si>
  <si>
    <t>stupeň</t>
  </si>
  <si>
    <t>študentov</t>
  </si>
  <si>
    <t xml:space="preserve">    Na cenu rektora</t>
  </si>
  <si>
    <t>geografia a geoinformatika</t>
  </si>
  <si>
    <t xml:space="preserve">    Zostatok na fakulty a ÚTVaŠ</t>
  </si>
  <si>
    <t>biológia</t>
  </si>
  <si>
    <t>Motivačné štipendium pre vybrané ŠO</t>
  </si>
  <si>
    <t>fyzika</t>
  </si>
  <si>
    <t>chémia</t>
  </si>
  <si>
    <t>T6c-výkon-fak - stĺpce E a F</t>
  </si>
  <si>
    <t>aplikovaná informatika</t>
  </si>
  <si>
    <t xml:space="preserve"> Počet študentov pre motivačné štipendiá základné</t>
  </si>
  <si>
    <t>Počet študentov pre motivačné odborové štipendiá</t>
  </si>
  <si>
    <t>informatika</t>
  </si>
  <si>
    <t>ekonomická a finančná matematika</t>
  </si>
  <si>
    <t>biofyzika</t>
  </si>
  <si>
    <t>matematika</t>
  </si>
  <si>
    <t>matematika - geografia</t>
  </si>
  <si>
    <t>biológia - chémia</t>
  </si>
  <si>
    <t>matematika - fyzika</t>
  </si>
  <si>
    <t>biológia - geografia</t>
  </si>
  <si>
    <t>chémia - geografia</t>
  </si>
  <si>
    <t>matematika - chémia</t>
  </si>
  <si>
    <t>matematika - biológia</t>
  </si>
  <si>
    <t>T18-Mot_štip C4</t>
  </si>
  <si>
    <t>T18-Mot_štip E4</t>
  </si>
  <si>
    <t>chémia - informatika</t>
  </si>
  <si>
    <t>biológia - psychológia</t>
  </si>
  <si>
    <t>fyzika - biológia</t>
  </si>
  <si>
    <t>geografia - informatika</t>
  </si>
  <si>
    <t>ošetrovateľstvo</t>
  </si>
  <si>
    <t>matematika - psychológia</t>
  </si>
  <si>
    <t>slovenský jazyk a literatúra - geografia</t>
  </si>
  <si>
    <t>geografia - psychológia</t>
  </si>
  <si>
    <t>nemecký jazyk a literatúra - geografia</t>
  </si>
  <si>
    <t>matematika - informatika</t>
  </si>
  <si>
    <t>slovenský jazyk a literatúra - biológia</t>
  </si>
  <si>
    <t>fyzika - informatika</t>
  </si>
  <si>
    <t>história - geografia</t>
  </si>
  <si>
    <t>fyzika - chémia</t>
  </si>
  <si>
    <t>britské a americké štúdiá - geografia</t>
  </si>
  <si>
    <t>analýza dát a umelá inteligencia</t>
  </si>
  <si>
    <t>britské a americké štúdiá - biológia</t>
  </si>
  <si>
    <t>biológia - informatika</t>
  </si>
  <si>
    <t>britské a americké štúdiá - matematika</t>
  </si>
  <si>
    <t>britské a americké štúdiá - informatika</t>
  </si>
  <si>
    <t>fyzika kondenzovaných látok</t>
  </si>
  <si>
    <t>fyzikálna chémia</t>
  </si>
  <si>
    <t>Programy s nízkou hodnotou KAP</t>
  </si>
  <si>
    <t>analytická chémia</t>
  </si>
  <si>
    <t>KAP</t>
  </si>
  <si>
    <t>anorganická chémia</t>
  </si>
  <si>
    <t>učiteľstvo biológie (v kombinácii)</t>
  </si>
  <si>
    <t>učiteľstvo geografie (v kombinácii)</t>
  </si>
  <si>
    <t>manažérska matematika</t>
  </si>
  <si>
    <t>genetika a molekulárna cytológia</t>
  </si>
  <si>
    <t>učiteľstvo chémie (v kombinácii)</t>
  </si>
  <si>
    <t>učiteľstvo matematiky (v kombinácii)</t>
  </si>
  <si>
    <t>biochémia</t>
  </si>
  <si>
    <t>učiteľstvo fyziky (v kombinácii)</t>
  </si>
  <si>
    <t>botanika a fyziológia rastlín</t>
  </si>
  <si>
    <t>učiteľstvo informatiky (v kombinácii)</t>
  </si>
  <si>
    <t>VVš</t>
  </si>
  <si>
    <t>Oblasť výskumu</t>
  </si>
  <si>
    <t>Znakové hodnotenie</t>
  </si>
  <si>
    <t>Číselné hodnotenie 
KZV1</t>
  </si>
  <si>
    <r>
      <t xml:space="preserve">Počet </t>
    </r>
    <r>
      <rPr>
        <sz val="12"/>
        <color rgb="FF0000FF"/>
        <rFont val="Calibri"/>
        <family val="2"/>
        <charset val="238"/>
        <scheme val="minor"/>
      </rPr>
      <t>AZ</t>
    </r>
    <r>
      <rPr>
        <sz val="12"/>
        <rFont val="Calibri"/>
        <family val="2"/>
        <charset val="238"/>
        <scheme val="minor"/>
      </rPr>
      <t xml:space="preserve"> za hodnotené obdobie</t>
    </r>
  </si>
  <si>
    <t>K1=
(KZV1-1)
^2*AZ</t>
  </si>
  <si>
    <t>02 UPJS</t>
  </si>
  <si>
    <t>A</t>
  </si>
  <si>
    <t>C-</t>
  </si>
  <si>
    <t>A-</t>
  </si>
  <si>
    <t>B</t>
  </si>
  <si>
    <t>PraF</t>
  </si>
  <si>
    <t>B-</t>
  </si>
  <si>
    <t>B+</t>
  </si>
  <si>
    <t>Sumár za KA</t>
  </si>
  <si>
    <t>Súčet z K1=
(KZV1-1)
^2*AZ</t>
  </si>
  <si>
    <t>Súčet z Počet AZ za hodnotené obdobie</t>
  </si>
  <si>
    <t>Prepočítaný výkon</t>
  </si>
  <si>
    <t>Podiel upravený</t>
  </si>
  <si>
    <t>Celkový súčet</t>
  </si>
  <si>
    <t>zdroj: SOFIA /VVS/HR_HSKCEVI0_NEW (variant KVESTOR, okruh 10-6C, TVORIVI)</t>
  </si>
  <si>
    <t>Podiel na dotácií na prevádzku a rozvoj infraštruktúry, výkonová, okrem KA a excelentných pracovísk</t>
  </si>
  <si>
    <t>Priemer 
za 6 rokov</t>
  </si>
  <si>
    <t>UTVaŠ</t>
  </si>
  <si>
    <t>Excelentné</t>
  </si>
  <si>
    <t>prir</t>
  </si>
  <si>
    <t>tech</t>
  </si>
  <si>
    <t>lek</t>
  </si>
  <si>
    <t>pol</t>
  </si>
  <si>
    <t>spol</t>
  </si>
  <si>
    <t>hum</t>
  </si>
  <si>
    <t>umen</t>
  </si>
  <si>
    <t>Výkon</t>
  </si>
  <si>
    <t>VEGA</t>
  </si>
  <si>
    <t>KEGA</t>
  </si>
  <si>
    <t>APVV</t>
  </si>
  <si>
    <t>Ostatné</t>
  </si>
  <si>
    <t>Spolu</t>
  </si>
  <si>
    <t>Podiel
iba fakulty</t>
  </si>
  <si>
    <t>Koeficient intenzity výskumnej činnosti</t>
  </si>
  <si>
    <t>KIVC (2)</t>
  </si>
  <si>
    <t>KIVC (3)</t>
  </si>
  <si>
    <t>lektori 
CJ a TV</t>
  </si>
  <si>
    <t>SPOLU (s lektormi)</t>
  </si>
  <si>
    <t>Podiel UPJŠ</t>
  </si>
  <si>
    <t>Median SR -&gt;</t>
  </si>
  <si>
    <r>
      <t xml:space="preserve">Publikačná činnosť </t>
    </r>
    <r>
      <rPr>
        <sz val="12"/>
        <color theme="1"/>
        <rFont val="Calibri"/>
        <family val="2"/>
        <charset val="238"/>
        <scheme val="minor"/>
      </rPr>
      <t>(pozri samostatný súbor)</t>
    </r>
  </si>
  <si>
    <t>077 11 podľa Metodiky</t>
  </si>
  <si>
    <t>077 11 upravené</t>
  </si>
  <si>
    <t>Umelecká činnosť</t>
  </si>
  <si>
    <t>077 11</t>
  </si>
  <si>
    <t>077 12</t>
  </si>
  <si>
    <t>Ostatní</t>
  </si>
  <si>
    <t>CREUC</t>
  </si>
  <si>
    <t xml:space="preserve">Výkon podľa TaS na vzdelávaciu činnosť a prevádzku </t>
  </si>
  <si>
    <t>(T6c-výkon-fak - stĺpce I, G, J)</t>
  </si>
  <si>
    <t>(PPŠ*KO)</t>
  </si>
  <si>
    <t>(PPŠ)</t>
  </si>
  <si>
    <t>VŠO</t>
  </si>
  <si>
    <t>Výkon podľa mobilít</t>
  </si>
  <si>
    <t>pridelená suma</t>
  </si>
  <si>
    <t>Cudzinci</t>
  </si>
  <si>
    <t>T21-Mobility - stĺpec C5</t>
  </si>
  <si>
    <t>Vyslaní</t>
  </si>
  <si>
    <t>T21-Mobility - stĺpec D5</t>
  </si>
  <si>
    <t>Prijatí</t>
  </si>
  <si>
    <t>T21-Mobility - stĺpec E5</t>
  </si>
  <si>
    <t>Mobilita vyslaní</t>
  </si>
  <si>
    <t>mobilita prijatí</t>
  </si>
  <si>
    <t>Suma v dotácii</t>
  </si>
  <si>
    <t>T21b-cudzinci</t>
  </si>
  <si>
    <t>T21a-mobility</t>
  </si>
  <si>
    <t>T8-TaS F6</t>
  </si>
  <si>
    <t>Študento mesiace</t>
  </si>
  <si>
    <t>.</t>
  </si>
  <si>
    <t>Suma na SFc:</t>
  </si>
  <si>
    <t>Polozka</t>
  </si>
  <si>
    <t>Dot zmluva</t>
  </si>
  <si>
    <t>Podprogram</t>
  </si>
  <si>
    <t>BZ</t>
  </si>
  <si>
    <t>UKL</t>
  </si>
  <si>
    <t>Zaloha na klinicke pracoviska</t>
  </si>
  <si>
    <t>ZL</t>
  </si>
  <si>
    <t>špec</t>
  </si>
  <si>
    <t>Podpora študentov so špecifickými potrebami</t>
  </si>
  <si>
    <t>BZ mzdy</t>
  </si>
  <si>
    <t>BZ odvody</t>
  </si>
  <si>
    <t>BZ TaS</t>
  </si>
  <si>
    <t>077 15 01</t>
  </si>
  <si>
    <t>SPS_SS</t>
  </si>
  <si>
    <t>Socialne stipendia</t>
  </si>
  <si>
    <t>077 15 02</t>
  </si>
  <si>
    <t>SPS_MSz</t>
  </si>
  <si>
    <t>SPS_MSv</t>
  </si>
  <si>
    <t>SPS_STR</t>
  </si>
  <si>
    <t>Motivacne prospechove</t>
  </si>
  <si>
    <t>Motivacne odborove</t>
  </si>
  <si>
    <t>Prispevok na stravu</t>
  </si>
  <si>
    <t>Zahraniční lektori mzdy</t>
  </si>
  <si>
    <t>Zahraniční lektori odvody</t>
  </si>
  <si>
    <t>077 15 03</t>
  </si>
  <si>
    <t>SPS_SDaJ</t>
  </si>
  <si>
    <t>SPS_KSU</t>
  </si>
  <si>
    <t>SDaJ odvody</t>
  </si>
  <si>
    <t>SDaJ TaS</t>
  </si>
  <si>
    <t>Kultura a sport</t>
  </si>
  <si>
    <t>Ped</t>
  </si>
  <si>
    <t>Pg praxe</t>
  </si>
  <si>
    <t>Soc</t>
  </si>
  <si>
    <t>Socialna praca</t>
  </si>
  <si>
    <t>SPS_IND</t>
  </si>
  <si>
    <t>TJ Slavia (3 studenti)</t>
  </si>
  <si>
    <t>SPS_TJ</t>
  </si>
  <si>
    <t>TJ Slavia</t>
  </si>
  <si>
    <t>077 12 01</t>
  </si>
  <si>
    <t>VaV_spic</t>
  </si>
  <si>
    <t>Mzdy</t>
  </si>
  <si>
    <t>Odvody</t>
  </si>
  <si>
    <t>Valorizacia</t>
  </si>
  <si>
    <t>Zost</t>
  </si>
  <si>
    <t>RF+SFc</t>
  </si>
  <si>
    <t>HF+Energie</t>
  </si>
  <si>
    <t>Stipendia doktorandov</t>
  </si>
  <si>
    <t>Stip</t>
  </si>
  <si>
    <t>Stipendia doktorandov + valorizacia</t>
  </si>
  <si>
    <t>Spolu 28 802 721 EUR</t>
  </si>
  <si>
    <t>SDaJ mzdy s valorizaciou</t>
  </si>
  <si>
    <t>MP - 077 11</t>
  </si>
  <si>
    <t xml:space="preserve"> 077 12 01</t>
  </si>
  <si>
    <t>Učitel</t>
  </si>
  <si>
    <t>neuč</t>
  </si>
  <si>
    <t>výskum</t>
  </si>
  <si>
    <t>ŠD</t>
  </si>
  <si>
    <t>Drš</t>
  </si>
  <si>
    <t>odvody</t>
  </si>
  <si>
    <t>077 12 01 dod</t>
  </si>
  <si>
    <t>Spolu 733 141 EUR</t>
  </si>
  <si>
    <t>Spolu 12 472 173 EUR</t>
  </si>
  <si>
    <t xml:space="preserve">   07711 mzdy (výkon, špecifiká) bez valorizácie</t>
  </si>
  <si>
    <t xml:space="preserve">   07711 odvody z miezd 35,2% (vrátane valorizácie)</t>
  </si>
  <si>
    <t xml:space="preserve">      07712 06 - excelentné tímy</t>
  </si>
  <si>
    <r>
      <t xml:space="preserve">      07712 - bežné dotácie - výkonová časť - </t>
    </r>
    <r>
      <rPr>
        <sz val="12"/>
        <color rgb="FFFF0000"/>
        <rFont val="Calibri"/>
        <family val="2"/>
        <charset val="238"/>
        <scheme val="minor"/>
      </rPr>
      <t>bez valorizácie</t>
    </r>
  </si>
  <si>
    <r>
      <t xml:space="preserve">0771503 mzdy-ŠDaJ - </t>
    </r>
    <r>
      <rPr>
        <sz val="12"/>
        <color rgb="FFFF0000"/>
        <rFont val="Calibri"/>
        <family val="2"/>
        <charset val="238"/>
        <scheme val="minor"/>
      </rPr>
      <t>vrátane valorizácie</t>
    </r>
  </si>
  <si>
    <t>T12-špecifiká - J13</t>
  </si>
  <si>
    <t xml:space="preserve">    Zahraniční lektori (bez odvodov)</t>
  </si>
  <si>
    <r>
      <t xml:space="preserve">07712 - excelentné pracoviská </t>
    </r>
    <r>
      <rPr>
        <sz val="12"/>
        <color rgb="FFFF0000"/>
        <rFont val="Calibri"/>
        <family val="2"/>
        <charset val="238"/>
        <scheme val="minor"/>
      </rPr>
      <t>2,8 %</t>
    </r>
  </si>
  <si>
    <t>T14-VVZ - W6</t>
  </si>
  <si>
    <t>T14-VVZ - H6</t>
  </si>
  <si>
    <t>T14-VVZ - K6</t>
  </si>
  <si>
    <t>T14-VVZ - N6</t>
  </si>
  <si>
    <t>T14-VVZ - Q6</t>
  </si>
  <si>
    <t>T14-VVZ - U6</t>
  </si>
  <si>
    <r>
      <t xml:space="preserve">07712 - </t>
    </r>
    <r>
      <rPr>
        <sz val="12"/>
        <color rgb="FFFF0000"/>
        <rFont val="Calibri"/>
        <family val="2"/>
        <charset val="238"/>
        <scheme val="minor"/>
      </rPr>
      <t>VER-22 45 % (vlani 6r-priemer 31,12 %)</t>
    </r>
  </si>
  <si>
    <r>
      <t xml:space="preserve">07712 - KA </t>
    </r>
    <r>
      <rPr>
        <sz val="12"/>
        <rFont val="Calibri"/>
        <family val="2"/>
        <charset val="238"/>
        <scheme val="minor"/>
      </rPr>
      <t xml:space="preserve">0 %  </t>
    </r>
  </si>
  <si>
    <t xml:space="preserve">07712 06 - excelentné pracoviská </t>
  </si>
  <si>
    <t xml:space="preserve">T14ab-exc - Y4 </t>
  </si>
  <si>
    <t xml:space="preserve">      07712 09 - výkonnostné zmluvy navyše mzdy plus odvody</t>
  </si>
  <si>
    <t>Výkon 
študenti</t>
  </si>
  <si>
    <t>Výkon
absolventi</t>
  </si>
  <si>
    <t>Zapracovat KIVC, na jednotlive stupne rezervovat sumu podla SR</t>
  </si>
  <si>
    <t>Členské poplatky univerzity v externých organizáciách (CVVT, INNOCHANGE, SPARTAKUS…)</t>
  </si>
  <si>
    <t>T8-TaS - N6</t>
  </si>
  <si>
    <t>T8-TaS - O6+I6</t>
  </si>
  <si>
    <t>T8-TaS - O6</t>
  </si>
  <si>
    <t>Pridelené prostriedky bez valorizácie</t>
  </si>
  <si>
    <t>Podiel 
VER-22</t>
  </si>
  <si>
    <t>Podiel 
Excelentné 07712 06</t>
  </si>
  <si>
    <r>
      <t xml:space="preserve">   excelentné pracoviská (SR </t>
    </r>
    <r>
      <rPr>
        <sz val="12"/>
        <color rgb="FFFF0000"/>
        <rFont val="Calibri"/>
        <family val="2"/>
        <charset val="238"/>
        <scheme val="minor"/>
      </rPr>
      <t>2,8 %</t>
    </r>
    <r>
      <rPr>
        <sz val="12"/>
        <rFont val="Calibri"/>
        <family val="2"/>
        <charset val="238"/>
        <scheme val="minor"/>
      </rPr>
      <t>)</t>
    </r>
  </si>
  <si>
    <t>SPOLU aj s 
excelentnými 
07712 06</t>
  </si>
  <si>
    <t xml:space="preserve">   Excelentné pracoviská 07712 06 bez odvodov</t>
  </si>
  <si>
    <t>slovenský jazyk a literatúra - matematika</t>
  </si>
  <si>
    <t>organická chémia</t>
  </si>
  <si>
    <t>Inštitúcia</t>
  </si>
  <si>
    <t>Súčasť</t>
  </si>
  <si>
    <t>Oblasť</t>
  </si>
  <si>
    <t>Koeficient nákladov</t>
  </si>
  <si>
    <t>VER 2022 profily kvality (%)</t>
  </si>
  <si>
    <t>Počet zamestnancov</t>
  </si>
  <si>
    <t>UPJS</t>
  </si>
  <si>
    <t>Za celú inštitúciu</t>
  </si>
  <si>
    <t>Biologické vedy</t>
  </si>
  <si>
    <t>Filológia</t>
  </si>
  <si>
    <t>Filozofia a teológia</t>
  </si>
  <si>
    <t>Fyzikálne vedy</t>
  </si>
  <si>
    <t>Historické vedy</t>
  </si>
  <si>
    <t>Chemické vedy</t>
  </si>
  <si>
    <t>Informačné a komunikačné vedy</t>
  </si>
  <si>
    <t>Klinické lekárske vedy</t>
  </si>
  <si>
    <t>Matematické vedy</t>
  </si>
  <si>
    <t>Pedagogické vedy</t>
  </si>
  <si>
    <t>Fakulta verejnej správy</t>
  </si>
  <si>
    <t>Politické vedy</t>
  </si>
  <si>
    <t>Filozofická fakulta</t>
  </si>
  <si>
    <t>Právne vedy</t>
  </si>
  <si>
    <t>Psychológia</t>
  </si>
  <si>
    <t>Sociálna práca</t>
  </si>
  <si>
    <t>Vedy o Zemi</t>
  </si>
  <si>
    <t>Základné lekárske a farmaceutické vedy</t>
  </si>
  <si>
    <t>Zdravotnícke vedy</t>
  </si>
  <si>
    <t>Váhy profilov kvality VER</t>
  </si>
  <si>
    <t>5*</t>
  </si>
  <si>
    <t>4*</t>
  </si>
  <si>
    <t>3*</t>
  </si>
  <si>
    <t>2*</t>
  </si>
  <si>
    <t>1*</t>
  </si>
  <si>
    <t xml:space="preserve">Celkový váhovaný objem </t>
  </si>
  <si>
    <t>T6b-výkon K7</t>
  </si>
  <si>
    <t>T6b-výkon F7</t>
  </si>
  <si>
    <t>T6b-výkon M7</t>
  </si>
  <si>
    <t>T16-KIVČ B6</t>
  </si>
  <si>
    <t>T16-KIVČ C6</t>
  </si>
  <si>
    <t>T16-KIVČ D6</t>
  </si>
  <si>
    <t>T16-KIVČ E6</t>
  </si>
  <si>
    <t>T16-KIVČ F6</t>
  </si>
  <si>
    <t>T16-KIVČ G6</t>
  </si>
  <si>
    <t>T16-KIVČ H6</t>
  </si>
  <si>
    <t>T16-KIVČ I6</t>
  </si>
  <si>
    <t>T16-KIVČ J6</t>
  </si>
  <si>
    <t>T14d-Drš N4</t>
  </si>
  <si>
    <r>
      <t xml:space="preserve">Doktorandi po dizertačnej skúške </t>
    </r>
    <r>
      <rPr>
        <sz val="12"/>
        <color theme="1"/>
        <rFont val="Calibri"/>
        <family val="2"/>
        <charset val="238"/>
        <scheme val="minor"/>
      </rPr>
      <t>(T14d-crš)</t>
    </r>
  </si>
  <si>
    <t>T20a-CREUČ-sum</t>
  </si>
  <si>
    <t>07712 - PC 20 %</t>
  </si>
  <si>
    <t>07712 - UC 2,2 %</t>
  </si>
  <si>
    <t>07712 - Dokt po DS 9 %</t>
  </si>
  <si>
    <t>07712 - DG 8 %</t>
  </si>
  <si>
    <t>07712 - VČiS 4 %</t>
  </si>
  <si>
    <t xml:space="preserve">07712 - ZG 9 % </t>
  </si>
  <si>
    <t>07711 mzdy - na základe pg výkonu 88 %</t>
  </si>
  <si>
    <t>07711 mzdy - na základe UC 1,2 %</t>
  </si>
  <si>
    <t>07711 mzdy - na základe PC 10,8 %</t>
  </si>
  <si>
    <t xml:space="preserve">Verzia final (2) december (0) </t>
  </si>
  <si>
    <t>Valorizácia 24</t>
  </si>
  <si>
    <t>Existujúci</t>
  </si>
  <si>
    <t>VER-22</t>
  </si>
  <si>
    <t>Nové kritérium</t>
  </si>
  <si>
    <t>Excelentne</t>
  </si>
  <si>
    <t>Nova zalozka, nahradza KA</t>
  </si>
  <si>
    <t>dopracovat 6-rocne obdobie - zrusene</t>
  </si>
  <si>
    <t>dopracovat excelentne pracoviska -premiestnene</t>
  </si>
  <si>
    <t>udaje o pocte AZ - SOFIA - nie je potrebne</t>
  </si>
  <si>
    <t>TaS pre 077 11</t>
  </si>
  <si>
    <t xml:space="preserve">            v tom príspevok na rekereačné poukazy</t>
  </si>
  <si>
    <t>T8-TaS - K6</t>
  </si>
  <si>
    <t>Zníženie o rekreačné poukazy</t>
  </si>
  <si>
    <t>V Rektorate aj SDaJ (a to tu nemá byť)</t>
  </si>
  <si>
    <t>tri roky</t>
  </si>
  <si>
    <t>Objem finančných prostriedkov získaných 
za 3 kalendárne roky na výskumné granty zo zahraničia</t>
  </si>
  <si>
    <t>Objem finančných prostriedkov získaných za 3 kalendárne roky VČiS</t>
  </si>
  <si>
    <t>Objem finančných prostriedkov získaných 
za 3 kalendárne roky na nevýskumné granty zo zahraničia</t>
  </si>
  <si>
    <t>Objem finančných prostriedkov získaných za 3 kalendárne roky na výskumné granty od subjektov verejnej správy</t>
  </si>
  <si>
    <t>pozri T14c-vstup_DG-ZG bunky C6-F6</t>
  </si>
  <si>
    <t>pozri T14c-vstup_DG-ZG bunky 06-R6</t>
  </si>
  <si>
    <t>pozri T14c-vstup_DG-ZG bunky U6-X6</t>
  </si>
  <si>
    <t xml:space="preserve">  VER-22 (SR 45 %)</t>
  </si>
  <si>
    <t>T5b-studenti - BC1</t>
  </si>
  <si>
    <t>T5a-abs - stlpec Z</t>
  </si>
  <si>
    <t>T5b-studenti - BD1</t>
  </si>
  <si>
    <t>T5b-studenti - BE1</t>
  </si>
  <si>
    <t>Výkon 21</t>
  </si>
  <si>
    <t>Výkon 22</t>
  </si>
  <si>
    <t>T14-VVZ - AH6</t>
  </si>
  <si>
    <t>T14-VVZ - AI6</t>
  </si>
  <si>
    <t>Počet študentov denných neplatiacich</t>
  </si>
  <si>
    <t>Na študenta</t>
  </si>
  <si>
    <t>Presun v rámci univerzity</t>
  </si>
  <si>
    <t>Dopracovať prepočet na 1 študenta fakulty podľa stupňov</t>
  </si>
  <si>
    <t>Presuny v rámci univerzity</t>
  </si>
  <si>
    <t>počty profesorov, docentov, ... - SOFIA</t>
  </si>
  <si>
    <t>Koeficient</t>
  </si>
  <si>
    <t>Rektorat bez SDaJ</t>
  </si>
  <si>
    <t>07712 - valorizácia doktorandi v rozpise dotácie</t>
  </si>
  <si>
    <t>ÚTVŠ</t>
  </si>
  <si>
    <t>KIVČ
III. stupeň</t>
  </si>
  <si>
    <t>KIVČ
II. stupeň</t>
  </si>
  <si>
    <t>KIVČ
I. stupeň</t>
  </si>
  <si>
    <t>Zoznam programov s motivačným odborovým štipendiom 
(T5b-studenti - stĺpec AP)</t>
  </si>
  <si>
    <t xml:space="preserve">   KA (SR 0 %)</t>
  </si>
  <si>
    <t>Výkon podľa 
študentov a 
absolventov 
I. stupeň</t>
  </si>
  <si>
    <t>Výkon podľa 
študentov a 
absolventov 
II. stupeň</t>
  </si>
  <si>
    <t>Výkon podľa 
študentov a 
absolventov 
III. stupeň</t>
  </si>
  <si>
    <t>zoológia a fyziológia živočíchov</t>
  </si>
  <si>
    <t>Pozor TV na LF klesla na 1 kredit</t>
  </si>
  <si>
    <t>Priemerky</t>
  </si>
  <si>
    <t>Prof</t>
  </si>
  <si>
    <t>Doc</t>
  </si>
  <si>
    <t>OA,A,L</t>
  </si>
  <si>
    <t>VV</t>
  </si>
  <si>
    <t>Admin</t>
  </si>
  <si>
    <t>Prevadzka</t>
  </si>
  <si>
    <t>SDaJ</t>
  </si>
  <si>
    <t>Celkovo</t>
  </si>
  <si>
    <t xml:space="preserve">  </t>
  </si>
  <si>
    <t>Tvorivi</t>
  </si>
  <si>
    <t>zvysni</t>
  </si>
  <si>
    <t>R, UTVS, TIP</t>
  </si>
  <si>
    <t>07712 - štipendiá doktorandi 2+ znížEný o zostatok z roku 2023</t>
  </si>
  <si>
    <t>07711 mzdy (špecifiká bez odvodov)</t>
  </si>
  <si>
    <t xml:space="preserve">    BZ (bez odvodov)</t>
  </si>
  <si>
    <t xml:space="preserve">   07711 03 výkonnostné zmluvy navyše (vrátane odvodov)</t>
  </si>
  <si>
    <t>07711 03 výkonnostné zmluvy navyše (bez odvodov)</t>
  </si>
  <si>
    <t>07712 09 - výkonnostné zmluvy navyše (vrátane odvodov)</t>
  </si>
  <si>
    <t>doplnenie Sfa na priemerné mzdy</t>
  </si>
  <si>
    <t>odpočítané 164106 EUR - rousudok súdu (zrušenie korenkcie Medipark)</t>
  </si>
  <si>
    <t>od 1.9.2024</t>
  </si>
  <si>
    <t>do 31.8.2024</t>
  </si>
  <si>
    <t>SFa - suma</t>
  </si>
  <si>
    <t>SFb - suma</t>
  </si>
  <si>
    <t>ÚTVaŠ - obnova zariadenia športovísk</t>
  </si>
  <si>
    <t>MŠVVaM SR</t>
  </si>
  <si>
    <t>real 0,-</t>
  </si>
  <si>
    <t>bez ŠDaJ, bez BZ</t>
  </si>
  <si>
    <t>1188000 R.23</t>
  </si>
  <si>
    <t>176771 v r.23</t>
  </si>
  <si>
    <t>real 0</t>
  </si>
  <si>
    <t xml:space="preserve">MŠ - vybavenie, nábytok </t>
  </si>
  <si>
    <t>Sfa</t>
  </si>
  <si>
    <t>doplená</t>
  </si>
  <si>
    <t>MŠ</t>
  </si>
  <si>
    <t>stabilizačný fond iba pre PrávF, FVS, FF</t>
  </si>
  <si>
    <t>dávajú z miezd</t>
  </si>
  <si>
    <t>odhad</t>
  </si>
  <si>
    <t>Podľa počtu programov
písm a</t>
  </si>
  <si>
    <t>Suma na nové štipendiá z RF</t>
  </si>
  <si>
    <t>Suma na nové štipendiá z neúčelovej dotácie</t>
  </si>
  <si>
    <t>Podľa písm b</t>
  </si>
  <si>
    <t>Podľa písm c (RF)</t>
  </si>
  <si>
    <t>potreba na rok 2024</t>
  </si>
  <si>
    <t xml:space="preserve">SPOLU </t>
  </si>
  <si>
    <t>Suma už aj s valorizáciou pre nových doktorandov</t>
  </si>
  <si>
    <t>upravené podľa metodiky pre doktorandské štipendiá (100 + 10 RF)</t>
  </si>
  <si>
    <t>celová cena práce</t>
  </si>
  <si>
    <t>Členské poplatky UPJŠ v zahraničných organizáciách (EU partnerstvá Horizontu, ESFRI infraštruktúry)</t>
  </si>
  <si>
    <t xml:space="preserve">obnova mechanizácie BZ, obnova autoparku </t>
  </si>
  <si>
    <t>prof. MUDr. Daniel Pella, PhD.</t>
  </si>
  <si>
    <t>Ing. Ivan Pezlar, DBA, 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</si>
</sst>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_-* #,##0.00\ _€_-;\-* #,##0.00\ _€_-;_-* &quot;-&quot;??\ _€_-;_-@_-"/>
    <numFmt numFmtId="166" formatCode="[$-F800]dddd\,\ mmmm\ dd\,\ yyyy"/>
    <numFmt numFmtId="167" formatCode="_-* #,##0\ [$€-1]_-;\-* #,##0\ [$€-1]_-;_-* &quot;-&quot;??\ [$€-1]_-;_-@_-"/>
    <numFmt numFmtId="168" formatCode="_-* #,##0\ &quot;€&quot;_-;\-* #,##0\ &quot;€&quot;_-;_-* &quot;-&quot;??\ &quot;€&quot;_-;_-@_-"/>
    <numFmt numFmtId="169" formatCode="0.0000"/>
    <numFmt numFmtId="170" formatCode="_-* #,##0.00\ [$€-1]_-;\-* #,##0.00\ [$€-1]_-;_-* &quot;-&quot;??\ [$€-1]_-;_-@_-"/>
    <numFmt numFmtId="171" formatCode="#,##0.0000"/>
    <numFmt numFmtId="172" formatCode="0.0"/>
    <numFmt numFmtId="173" formatCode="_-* #,##0.00\ _S_k_-;\-* #,##0.00\ _S_k_-;_-* &quot;-&quot;??\ _S_k_-;_-@_-"/>
    <numFmt numFmtId="174" formatCode="#,##0_ ;[Red]\-#,##0\ "/>
    <numFmt numFmtId="175" formatCode="_-* #,##0.00\ &quot;Sk&quot;_-;\-* #,##0.00\ &quot;Sk&quot;_-;_-* &quot;-&quot;??\ &quot;Sk&quot;_-;_-@_-"/>
    <numFmt numFmtId="176" formatCode="_-* #,##0.00\ [$€-1]_-;\-* #,##0.00\ [$€-1]_-;_-* &quot;-&quot;??\ [$€-1]_-"/>
    <numFmt numFmtId="177" formatCode="[$-41B]General"/>
    <numFmt numFmtId="178" formatCode="0.000"/>
    <numFmt numFmtId="179" formatCode="0.000000"/>
    <numFmt numFmtId="180" formatCode="_-* #,##0.00000\ _€_-;\-* #,##0.00000\ _€_-;_-* &quot;-&quot;??\ _€_-;_-@_-"/>
    <numFmt numFmtId="181" formatCode="#,##0\ &quot;€&quot;"/>
  </numFmts>
  <fonts count="9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1"/>
    </font>
    <font>
      <sz val="12"/>
      <color theme="1"/>
      <name val="Times New Roman"/>
      <family val="2"/>
      <charset val="238"/>
    </font>
    <font>
      <sz val="11"/>
      <name val="Times New Roman"/>
      <family val="1"/>
      <charset val="238"/>
    </font>
    <font>
      <sz val="10"/>
      <name val="Arial CE"/>
    </font>
    <font>
      <b/>
      <sz val="11"/>
      <color indexed="63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6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1"/>
      <color theme="1"/>
      <name val="Times New Roman"/>
      <family val="2"/>
      <charset val="238"/>
    </font>
    <font>
      <b/>
      <sz val="8.5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0"/>
      <charset val="238"/>
    </font>
    <font>
      <b/>
      <sz val="18"/>
      <color indexed="62"/>
      <name val="Cambria"/>
      <family val="2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0" tint="-0.1499984740745262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505160"/>
      <name val="Arial"/>
      <family val="2"/>
      <charset val="238"/>
    </font>
    <font>
      <b/>
      <sz val="11"/>
      <color rgb="FF505160"/>
      <name val="Arial"/>
      <family val="2"/>
    </font>
    <font>
      <sz val="11"/>
      <color rgb="FF000000"/>
      <name val="Arial"/>
      <family val="2"/>
      <charset val="238"/>
    </font>
    <font>
      <sz val="11"/>
      <color rgb="FF505160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trike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</fonts>
  <fills count="10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9F76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44"/>
        <bgColor indexed="58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5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5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933">
    <xf numFmtId="0" fontId="0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7" borderId="0" applyNumberFormat="0" applyBorder="0" applyAlignment="0" applyProtection="0"/>
    <xf numFmtId="0" fontId="23" fillId="24" borderId="10" applyNumberFormat="0" applyAlignment="0" applyProtection="0"/>
    <xf numFmtId="0" fontId="23" fillId="24" borderId="10" applyNumberFormat="0" applyAlignment="0" applyProtection="0"/>
    <xf numFmtId="0" fontId="23" fillId="24" borderId="10" applyNumberFormat="0" applyAlignment="0" applyProtection="0"/>
    <xf numFmtId="0" fontId="23" fillId="24" borderId="10" applyNumberFormat="0" applyAlignment="0" applyProtection="0"/>
    <xf numFmtId="0" fontId="23" fillId="24" borderId="10" applyNumberFormat="0" applyAlignment="0" applyProtection="0"/>
    <xf numFmtId="0" fontId="23" fillId="24" borderId="10" applyNumberFormat="0" applyAlignment="0" applyProtection="0"/>
    <xf numFmtId="0" fontId="23" fillId="24" borderId="10" applyNumberFormat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25" fillId="0" borderId="15">
      <alignment horizontal="center" vertical="center"/>
    </xf>
    <xf numFmtId="0" fontId="25" fillId="0" borderId="15">
      <alignment horizontal="center" vertical="center"/>
    </xf>
    <xf numFmtId="0" fontId="33" fillId="25" borderId="16" applyNumberFormat="0" applyAlignment="0" applyProtection="0"/>
    <xf numFmtId="0" fontId="34" fillId="11" borderId="10" applyNumberFormat="0" applyAlignment="0" applyProtection="0"/>
    <xf numFmtId="0" fontId="34" fillId="11" borderId="10" applyNumberFormat="0" applyAlignment="0" applyProtection="0"/>
    <xf numFmtId="0" fontId="34" fillId="11" borderId="10" applyNumberFormat="0" applyAlignment="0" applyProtection="0"/>
    <xf numFmtId="0" fontId="34" fillId="11" borderId="10" applyNumberFormat="0" applyAlignment="0" applyProtection="0"/>
    <xf numFmtId="0" fontId="34" fillId="11" borderId="10" applyNumberFormat="0" applyAlignment="0" applyProtection="0"/>
    <xf numFmtId="0" fontId="34" fillId="11" borderId="10" applyNumberFormat="0" applyAlignment="0" applyProtection="0"/>
    <xf numFmtId="0" fontId="34" fillId="11" borderId="10" applyNumberFormat="0" applyAlignment="0" applyProtection="0"/>
    <xf numFmtId="0" fontId="25" fillId="26" borderId="1"/>
    <xf numFmtId="0" fontId="25" fillId="26" borderId="1"/>
    <xf numFmtId="0" fontId="25" fillId="26" borderId="1"/>
    <xf numFmtId="0" fontId="25" fillId="26" borderId="1"/>
    <xf numFmtId="0" fontId="25" fillId="26" borderId="1"/>
    <xf numFmtId="0" fontId="25" fillId="26" borderId="1"/>
    <xf numFmtId="0" fontId="25" fillId="27" borderId="4"/>
    <xf numFmtId="0" fontId="25" fillId="27" borderId="4"/>
    <xf numFmtId="0" fontId="35" fillId="0" borderId="17" applyNumberFormat="0" applyFill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8" borderId="0" applyNumberFormat="0" applyBorder="0" applyAlignment="0" applyProtection="0"/>
    <xf numFmtId="0" fontId="27" fillId="0" borderId="0"/>
    <xf numFmtId="0" fontId="6" fillId="0" borderId="0"/>
    <xf numFmtId="0" fontId="6" fillId="0" borderId="0"/>
    <xf numFmtId="0" fontId="26" fillId="0" borderId="0"/>
    <xf numFmtId="0" fontId="25" fillId="0" borderId="0"/>
    <xf numFmtId="0" fontId="37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4" fillId="0" borderId="0"/>
    <xf numFmtId="0" fontId="38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27" fillId="0" borderId="0"/>
    <xf numFmtId="0" fontId="27" fillId="0" borderId="0"/>
    <xf numFmtId="0" fontId="20" fillId="0" borderId="0"/>
    <xf numFmtId="0" fontId="6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24" fillId="0" borderId="0"/>
    <xf numFmtId="0" fontId="24" fillId="0" borderId="0"/>
    <xf numFmtId="0" fontId="20" fillId="29" borderId="18" applyNumberFormat="0" applyFont="0" applyAlignment="0" applyProtection="0"/>
    <xf numFmtId="0" fontId="24" fillId="29" borderId="18" applyNumberFormat="0" applyFont="0" applyAlignment="0" applyProtection="0"/>
    <xf numFmtId="0" fontId="24" fillId="29" borderId="18" applyNumberFormat="0" applyFont="0" applyAlignment="0" applyProtection="0"/>
    <xf numFmtId="0" fontId="24" fillId="29" borderId="18" applyNumberFormat="0" applyFont="0" applyAlignment="0" applyProtection="0"/>
    <xf numFmtId="0" fontId="20" fillId="29" borderId="18" applyNumberFormat="0" applyFont="0" applyAlignment="0" applyProtection="0"/>
    <xf numFmtId="0" fontId="20" fillId="29" borderId="18" applyNumberFormat="0" applyFont="0" applyAlignment="0" applyProtection="0"/>
    <xf numFmtId="0" fontId="20" fillId="29" borderId="18" applyNumberFormat="0" applyFont="0" applyAlignment="0" applyProtection="0"/>
    <xf numFmtId="0" fontId="41" fillId="24" borderId="19" applyNumberFormat="0" applyAlignment="0" applyProtection="0"/>
    <xf numFmtId="0" fontId="41" fillId="24" borderId="19" applyNumberFormat="0" applyAlignment="0" applyProtection="0"/>
    <xf numFmtId="0" fontId="41" fillId="24" borderId="19" applyNumberFormat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43" fillId="28" borderId="20" applyNumberFormat="0" applyProtection="0">
      <alignment vertical="center"/>
    </xf>
    <xf numFmtId="4" fontId="43" fillId="28" borderId="20" applyNumberFormat="0" applyProtection="0">
      <alignment vertical="center"/>
    </xf>
    <xf numFmtId="4" fontId="43" fillId="28" borderId="20" applyNumberFormat="0" applyProtection="0">
      <alignment vertical="center"/>
    </xf>
    <xf numFmtId="4" fontId="43" fillId="28" borderId="20" applyNumberFormat="0" applyProtection="0">
      <alignment vertical="center"/>
    </xf>
    <xf numFmtId="4" fontId="43" fillId="28" borderId="20" applyNumberFormat="0" applyProtection="0">
      <alignment vertical="center"/>
    </xf>
    <xf numFmtId="4" fontId="44" fillId="31" borderId="20" applyNumberFormat="0" applyProtection="0">
      <alignment vertical="center"/>
    </xf>
    <xf numFmtId="4" fontId="44" fillId="31" borderId="20" applyNumberFormat="0" applyProtection="0">
      <alignment vertical="center"/>
    </xf>
    <xf numFmtId="4" fontId="44" fillId="31" borderId="20" applyNumberFormat="0" applyProtection="0">
      <alignment vertical="center"/>
    </xf>
    <xf numFmtId="4" fontId="44" fillId="31" borderId="20" applyNumberFormat="0" applyProtection="0">
      <alignment vertical="center"/>
    </xf>
    <xf numFmtId="4" fontId="44" fillId="31" borderId="20" applyNumberFormat="0" applyProtection="0">
      <alignment vertical="center"/>
    </xf>
    <xf numFmtId="4" fontId="43" fillId="31" borderId="20" applyNumberFormat="0" applyProtection="0">
      <alignment horizontal="left" vertical="center" indent="1"/>
    </xf>
    <xf numFmtId="4" fontId="43" fillId="31" borderId="20" applyNumberFormat="0" applyProtection="0">
      <alignment horizontal="left" vertical="center" indent="1"/>
    </xf>
    <xf numFmtId="4" fontId="43" fillId="31" borderId="20" applyNumberFormat="0" applyProtection="0">
      <alignment horizontal="left" vertical="center" indent="1"/>
    </xf>
    <xf numFmtId="4" fontId="43" fillId="31" borderId="20" applyNumberFormat="0" applyProtection="0">
      <alignment horizontal="left" vertical="center" indent="1"/>
    </xf>
    <xf numFmtId="4" fontId="43" fillId="31" borderId="20" applyNumberFormat="0" applyProtection="0">
      <alignment horizontal="left" vertical="center" indent="1"/>
    </xf>
    <xf numFmtId="0" fontId="43" fillId="31" borderId="20" applyNumberFormat="0" applyProtection="0">
      <alignment horizontal="left" vertical="top" indent="1"/>
    </xf>
    <xf numFmtId="0" fontId="43" fillId="31" borderId="20" applyNumberFormat="0" applyProtection="0">
      <alignment horizontal="left" vertical="top" indent="1"/>
    </xf>
    <xf numFmtId="0" fontId="43" fillId="31" borderId="20" applyNumberFormat="0" applyProtection="0">
      <alignment horizontal="left" vertical="top" indent="1"/>
    </xf>
    <xf numFmtId="0" fontId="43" fillId="31" borderId="20" applyNumberFormat="0" applyProtection="0">
      <alignment horizontal="left" vertical="top" indent="1"/>
    </xf>
    <xf numFmtId="0" fontId="43" fillId="31" borderId="20" applyNumberFormat="0" applyProtection="0">
      <alignment horizontal="left" vertical="top" indent="1"/>
    </xf>
    <xf numFmtId="4" fontId="45" fillId="7" borderId="20" applyNumberFormat="0" applyProtection="0">
      <alignment horizontal="right" vertical="center"/>
    </xf>
    <xf numFmtId="4" fontId="45" fillId="7" borderId="20" applyNumberFormat="0" applyProtection="0">
      <alignment horizontal="right" vertical="center"/>
    </xf>
    <xf numFmtId="4" fontId="45" fillId="7" borderId="20" applyNumberFormat="0" applyProtection="0">
      <alignment horizontal="right" vertical="center"/>
    </xf>
    <xf numFmtId="4" fontId="45" fillId="7" borderId="20" applyNumberFormat="0" applyProtection="0">
      <alignment horizontal="right" vertical="center"/>
    </xf>
    <xf numFmtId="4" fontId="45" fillId="7" borderId="20" applyNumberFormat="0" applyProtection="0">
      <alignment horizontal="right" vertical="center"/>
    </xf>
    <xf numFmtId="4" fontId="45" fillId="13" borderId="20" applyNumberFormat="0" applyProtection="0">
      <alignment horizontal="right" vertical="center"/>
    </xf>
    <xf numFmtId="4" fontId="45" fillId="13" borderId="20" applyNumberFormat="0" applyProtection="0">
      <alignment horizontal="right" vertical="center"/>
    </xf>
    <xf numFmtId="4" fontId="45" fillId="13" borderId="20" applyNumberFormat="0" applyProtection="0">
      <alignment horizontal="right" vertical="center"/>
    </xf>
    <xf numFmtId="4" fontId="45" fillId="13" borderId="20" applyNumberFormat="0" applyProtection="0">
      <alignment horizontal="right" vertical="center"/>
    </xf>
    <xf numFmtId="4" fontId="45" fillId="13" borderId="20" applyNumberFormat="0" applyProtection="0">
      <alignment horizontal="right" vertical="center"/>
    </xf>
    <xf numFmtId="4" fontId="45" fillId="21" borderId="20" applyNumberFormat="0" applyProtection="0">
      <alignment horizontal="right" vertical="center"/>
    </xf>
    <xf numFmtId="4" fontId="45" fillId="21" borderId="20" applyNumberFormat="0" applyProtection="0">
      <alignment horizontal="right" vertical="center"/>
    </xf>
    <xf numFmtId="4" fontId="45" fillId="21" borderId="20" applyNumberFormat="0" applyProtection="0">
      <alignment horizontal="right" vertical="center"/>
    </xf>
    <xf numFmtId="4" fontId="45" fillId="21" borderId="20" applyNumberFormat="0" applyProtection="0">
      <alignment horizontal="right" vertical="center"/>
    </xf>
    <xf numFmtId="4" fontId="45" fillId="21" borderId="20" applyNumberFormat="0" applyProtection="0">
      <alignment horizontal="right" vertical="center"/>
    </xf>
    <xf numFmtId="4" fontId="45" fillId="15" borderId="20" applyNumberFormat="0" applyProtection="0">
      <alignment horizontal="right" vertical="center"/>
    </xf>
    <xf numFmtId="4" fontId="45" fillId="15" borderId="20" applyNumberFormat="0" applyProtection="0">
      <alignment horizontal="right" vertical="center"/>
    </xf>
    <xf numFmtId="4" fontId="45" fillId="15" borderId="20" applyNumberFormat="0" applyProtection="0">
      <alignment horizontal="right" vertical="center"/>
    </xf>
    <xf numFmtId="4" fontId="45" fillId="15" borderId="20" applyNumberFormat="0" applyProtection="0">
      <alignment horizontal="right" vertical="center"/>
    </xf>
    <xf numFmtId="4" fontId="45" fillId="15" borderId="20" applyNumberFormat="0" applyProtection="0">
      <alignment horizontal="right" vertical="center"/>
    </xf>
    <xf numFmtId="4" fontId="45" fillId="19" borderId="20" applyNumberFormat="0" applyProtection="0">
      <alignment horizontal="right" vertical="center"/>
    </xf>
    <xf numFmtId="4" fontId="45" fillId="19" borderId="20" applyNumberFormat="0" applyProtection="0">
      <alignment horizontal="right" vertical="center"/>
    </xf>
    <xf numFmtId="4" fontId="45" fillId="19" borderId="20" applyNumberFormat="0" applyProtection="0">
      <alignment horizontal="right" vertical="center"/>
    </xf>
    <xf numFmtId="4" fontId="45" fillId="19" borderId="20" applyNumberFormat="0" applyProtection="0">
      <alignment horizontal="right" vertical="center"/>
    </xf>
    <xf numFmtId="4" fontId="45" fillId="19" borderId="20" applyNumberFormat="0" applyProtection="0">
      <alignment horizontal="right" vertical="center"/>
    </xf>
    <xf numFmtId="4" fontId="45" fillId="23" borderId="20" applyNumberFormat="0" applyProtection="0">
      <alignment horizontal="right" vertical="center"/>
    </xf>
    <xf numFmtId="4" fontId="45" fillId="23" borderId="20" applyNumberFormat="0" applyProtection="0">
      <alignment horizontal="right" vertical="center"/>
    </xf>
    <xf numFmtId="4" fontId="45" fillId="23" borderId="20" applyNumberFormat="0" applyProtection="0">
      <alignment horizontal="right" vertical="center"/>
    </xf>
    <xf numFmtId="4" fontId="45" fillId="23" borderId="20" applyNumberFormat="0" applyProtection="0">
      <alignment horizontal="right" vertical="center"/>
    </xf>
    <xf numFmtId="4" fontId="45" fillId="23" borderId="20" applyNumberFormat="0" applyProtection="0">
      <alignment horizontal="right" vertical="center"/>
    </xf>
    <xf numFmtId="4" fontId="45" fillId="22" borderId="20" applyNumberFormat="0" applyProtection="0">
      <alignment horizontal="right" vertical="center"/>
    </xf>
    <xf numFmtId="4" fontId="45" fillId="22" borderId="20" applyNumberFormat="0" applyProtection="0">
      <alignment horizontal="right" vertical="center"/>
    </xf>
    <xf numFmtId="4" fontId="45" fillId="22" borderId="20" applyNumberFormat="0" applyProtection="0">
      <alignment horizontal="right" vertical="center"/>
    </xf>
    <xf numFmtId="4" fontId="45" fillId="22" borderId="20" applyNumberFormat="0" applyProtection="0">
      <alignment horizontal="right" vertical="center"/>
    </xf>
    <xf numFmtId="4" fontId="45" fillId="22" borderId="20" applyNumberFormat="0" applyProtection="0">
      <alignment horizontal="right" vertical="center"/>
    </xf>
    <xf numFmtId="4" fontId="45" fillId="32" borderId="20" applyNumberFormat="0" applyProtection="0">
      <alignment horizontal="right" vertical="center"/>
    </xf>
    <xf numFmtId="4" fontId="45" fillId="32" borderId="20" applyNumberFormat="0" applyProtection="0">
      <alignment horizontal="right" vertical="center"/>
    </xf>
    <xf numFmtId="4" fontId="45" fillId="32" borderId="20" applyNumberFormat="0" applyProtection="0">
      <alignment horizontal="right" vertical="center"/>
    </xf>
    <xf numFmtId="4" fontId="45" fillId="32" borderId="20" applyNumberFormat="0" applyProtection="0">
      <alignment horizontal="right" vertical="center"/>
    </xf>
    <xf numFmtId="4" fontId="45" fillId="32" borderId="20" applyNumberFormat="0" applyProtection="0">
      <alignment horizontal="right" vertical="center"/>
    </xf>
    <xf numFmtId="4" fontId="45" fillId="14" borderId="20" applyNumberFormat="0" applyProtection="0">
      <alignment horizontal="right" vertical="center"/>
    </xf>
    <xf numFmtId="4" fontId="45" fillId="14" borderId="20" applyNumberFormat="0" applyProtection="0">
      <alignment horizontal="right" vertical="center"/>
    </xf>
    <xf numFmtId="4" fontId="45" fillId="14" borderId="20" applyNumberFormat="0" applyProtection="0">
      <alignment horizontal="right" vertical="center"/>
    </xf>
    <xf numFmtId="4" fontId="45" fillId="14" borderId="20" applyNumberFormat="0" applyProtection="0">
      <alignment horizontal="right" vertical="center"/>
    </xf>
    <xf numFmtId="4" fontId="45" fillId="14" borderId="20" applyNumberFormat="0" applyProtection="0">
      <alignment horizontal="right" vertical="center"/>
    </xf>
    <xf numFmtId="4" fontId="43" fillId="33" borderId="21" applyNumberFormat="0" applyProtection="0">
      <alignment horizontal="left" vertical="center" indent="1"/>
    </xf>
    <xf numFmtId="4" fontId="45" fillId="34" borderId="0" applyNumberFormat="0" applyProtection="0">
      <alignment horizontal="left" vertical="center" indent="1"/>
    </xf>
    <xf numFmtId="4" fontId="46" fillId="35" borderId="0" applyNumberFormat="0" applyProtection="0">
      <alignment horizontal="left" vertical="center" indent="1"/>
    </xf>
    <xf numFmtId="4" fontId="45" fillId="36" borderId="20" applyNumberFormat="0" applyProtection="0">
      <alignment horizontal="right" vertical="center"/>
    </xf>
    <xf numFmtId="4" fontId="45" fillId="36" borderId="20" applyNumberFormat="0" applyProtection="0">
      <alignment horizontal="right" vertical="center"/>
    </xf>
    <xf numFmtId="4" fontId="45" fillId="36" borderId="20" applyNumberFormat="0" applyProtection="0">
      <alignment horizontal="right" vertical="center"/>
    </xf>
    <xf numFmtId="4" fontId="45" fillId="36" borderId="20" applyNumberFormat="0" applyProtection="0">
      <alignment horizontal="right" vertical="center"/>
    </xf>
    <xf numFmtId="4" fontId="45" fillId="36" borderId="20" applyNumberFormat="0" applyProtection="0">
      <alignment horizontal="right" vertical="center"/>
    </xf>
    <xf numFmtId="4" fontId="47" fillId="34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0" fontId="27" fillId="35" borderId="20" applyNumberFormat="0" applyProtection="0">
      <alignment horizontal="left" vertical="center" indent="1"/>
    </xf>
    <xf numFmtId="0" fontId="27" fillId="35" borderId="20" applyNumberFormat="0" applyProtection="0">
      <alignment horizontal="left" vertical="center" indent="1"/>
    </xf>
    <xf numFmtId="0" fontId="27" fillId="35" borderId="20" applyNumberFormat="0" applyProtection="0">
      <alignment horizontal="left" vertical="center" indent="1"/>
    </xf>
    <xf numFmtId="0" fontId="27" fillId="35" borderId="20" applyNumberFormat="0" applyProtection="0">
      <alignment horizontal="left" vertical="center" indent="1"/>
    </xf>
    <xf numFmtId="0" fontId="27" fillId="35" borderId="20" applyNumberFormat="0" applyProtection="0">
      <alignment horizontal="left" vertical="center" indent="1"/>
    </xf>
    <xf numFmtId="0" fontId="27" fillId="35" borderId="20" applyNumberFormat="0" applyProtection="0">
      <alignment horizontal="left" vertical="top" indent="1"/>
    </xf>
    <xf numFmtId="0" fontId="27" fillId="35" borderId="20" applyNumberFormat="0" applyProtection="0">
      <alignment horizontal="left" vertical="top" indent="1"/>
    </xf>
    <xf numFmtId="0" fontId="27" fillId="35" borderId="20" applyNumberFormat="0" applyProtection="0">
      <alignment horizontal="left" vertical="top" indent="1"/>
    </xf>
    <xf numFmtId="0" fontId="27" fillId="35" borderId="20" applyNumberFormat="0" applyProtection="0">
      <alignment horizontal="left" vertical="top" indent="1"/>
    </xf>
    <xf numFmtId="0" fontId="27" fillId="35" borderId="20" applyNumberFormat="0" applyProtection="0">
      <alignment horizontal="left" vertical="top" indent="1"/>
    </xf>
    <xf numFmtId="0" fontId="27" fillId="37" borderId="20" applyNumberFormat="0" applyProtection="0">
      <alignment horizontal="left" vertical="center" indent="1"/>
    </xf>
    <xf numFmtId="0" fontId="27" fillId="37" borderId="20" applyNumberFormat="0" applyProtection="0">
      <alignment horizontal="left" vertical="center" indent="1"/>
    </xf>
    <xf numFmtId="0" fontId="27" fillId="37" borderId="20" applyNumberFormat="0" applyProtection="0">
      <alignment horizontal="left" vertical="center" indent="1"/>
    </xf>
    <xf numFmtId="0" fontId="27" fillId="37" borderId="20" applyNumberFormat="0" applyProtection="0">
      <alignment horizontal="left" vertical="center" indent="1"/>
    </xf>
    <xf numFmtId="0" fontId="27" fillId="37" borderId="20" applyNumberFormat="0" applyProtection="0">
      <alignment horizontal="left" vertical="center" indent="1"/>
    </xf>
    <xf numFmtId="0" fontId="27" fillId="37" borderId="20" applyNumberFormat="0" applyProtection="0">
      <alignment horizontal="left" vertical="top" indent="1"/>
    </xf>
    <xf numFmtId="0" fontId="27" fillId="37" borderId="20" applyNumberFormat="0" applyProtection="0">
      <alignment horizontal="left" vertical="top" indent="1"/>
    </xf>
    <xf numFmtId="0" fontId="27" fillId="37" borderId="20" applyNumberFormat="0" applyProtection="0">
      <alignment horizontal="left" vertical="top" indent="1"/>
    </xf>
    <xf numFmtId="0" fontId="27" fillId="37" borderId="20" applyNumberFormat="0" applyProtection="0">
      <alignment horizontal="left" vertical="top" indent="1"/>
    </xf>
    <xf numFmtId="0" fontId="27" fillId="37" borderId="20" applyNumberFormat="0" applyProtection="0">
      <alignment horizontal="left" vertical="top" indent="1"/>
    </xf>
    <xf numFmtId="0" fontId="27" fillId="38" borderId="20" applyNumberFormat="0" applyProtection="0">
      <alignment horizontal="left" vertical="center" indent="1"/>
    </xf>
    <xf numFmtId="0" fontId="27" fillId="38" borderId="20" applyNumberFormat="0" applyProtection="0">
      <alignment horizontal="left" vertical="center" indent="1"/>
    </xf>
    <xf numFmtId="0" fontId="27" fillId="38" borderId="20" applyNumberFormat="0" applyProtection="0">
      <alignment horizontal="left" vertical="center" indent="1"/>
    </xf>
    <xf numFmtId="0" fontId="27" fillId="38" borderId="20" applyNumberFormat="0" applyProtection="0">
      <alignment horizontal="left" vertical="center" indent="1"/>
    </xf>
    <xf numFmtId="0" fontId="27" fillId="38" borderId="20" applyNumberFormat="0" applyProtection="0">
      <alignment horizontal="left" vertical="center" indent="1"/>
    </xf>
    <xf numFmtId="0" fontId="27" fillId="38" borderId="20" applyNumberFormat="0" applyProtection="0">
      <alignment horizontal="left" vertical="top" indent="1"/>
    </xf>
    <xf numFmtId="0" fontId="27" fillId="38" borderId="20" applyNumberFormat="0" applyProtection="0">
      <alignment horizontal="left" vertical="top" indent="1"/>
    </xf>
    <xf numFmtId="0" fontId="27" fillId="38" borderId="20" applyNumberFormat="0" applyProtection="0">
      <alignment horizontal="left" vertical="top" indent="1"/>
    </xf>
    <xf numFmtId="0" fontId="27" fillId="38" borderId="20" applyNumberFormat="0" applyProtection="0">
      <alignment horizontal="left" vertical="top" indent="1"/>
    </xf>
    <xf numFmtId="0" fontId="27" fillId="38" borderId="20" applyNumberFormat="0" applyProtection="0">
      <alignment horizontal="left" vertical="top" indent="1"/>
    </xf>
    <xf numFmtId="0" fontId="27" fillId="39" borderId="20" applyNumberFormat="0" applyProtection="0">
      <alignment horizontal="left" vertical="center" indent="1"/>
    </xf>
    <xf numFmtId="0" fontId="27" fillId="39" borderId="20" applyNumberFormat="0" applyProtection="0">
      <alignment horizontal="left" vertical="center" indent="1"/>
    </xf>
    <xf numFmtId="0" fontId="27" fillId="39" borderId="20" applyNumberFormat="0" applyProtection="0">
      <alignment horizontal="left" vertical="center" indent="1"/>
    </xf>
    <xf numFmtId="0" fontId="27" fillId="39" borderId="20" applyNumberFormat="0" applyProtection="0">
      <alignment horizontal="left" vertical="center" indent="1"/>
    </xf>
    <xf numFmtId="0" fontId="27" fillId="39" borderId="20" applyNumberFormat="0" applyProtection="0">
      <alignment horizontal="left" vertical="center" indent="1"/>
    </xf>
    <xf numFmtId="0" fontId="27" fillId="39" borderId="20" applyNumberFormat="0" applyProtection="0">
      <alignment horizontal="left" vertical="top" indent="1"/>
    </xf>
    <xf numFmtId="0" fontId="27" fillId="39" borderId="20" applyNumberFormat="0" applyProtection="0">
      <alignment horizontal="left" vertical="top" indent="1"/>
    </xf>
    <xf numFmtId="0" fontId="27" fillId="39" borderId="20" applyNumberFormat="0" applyProtection="0">
      <alignment horizontal="left" vertical="top" indent="1"/>
    </xf>
    <xf numFmtId="0" fontId="27" fillId="39" borderId="20" applyNumberFormat="0" applyProtection="0">
      <alignment horizontal="left" vertical="top" indent="1"/>
    </xf>
    <xf numFmtId="0" fontId="27" fillId="39" borderId="20" applyNumberFormat="0" applyProtection="0">
      <alignment horizontal="left" vertical="top" indent="1"/>
    </xf>
    <xf numFmtId="4" fontId="43" fillId="37" borderId="0" applyNumberFormat="0" applyProtection="0">
      <alignment horizontal="left" vertical="center" indent="1"/>
    </xf>
    <xf numFmtId="4" fontId="45" fillId="40" borderId="20" applyNumberFormat="0" applyProtection="0">
      <alignment vertical="center"/>
    </xf>
    <xf numFmtId="4" fontId="45" fillId="40" borderId="20" applyNumberFormat="0" applyProtection="0">
      <alignment vertical="center"/>
    </xf>
    <xf numFmtId="4" fontId="45" fillId="40" borderId="20" applyNumberFormat="0" applyProtection="0">
      <alignment vertical="center"/>
    </xf>
    <xf numFmtId="4" fontId="45" fillId="40" borderId="20" applyNumberFormat="0" applyProtection="0">
      <alignment vertical="center"/>
    </xf>
    <xf numFmtId="4" fontId="45" fillId="40" borderId="20" applyNumberFormat="0" applyProtection="0">
      <alignment vertical="center"/>
    </xf>
    <xf numFmtId="4" fontId="48" fillId="40" borderId="20" applyNumberFormat="0" applyProtection="0">
      <alignment vertical="center"/>
    </xf>
    <xf numFmtId="4" fontId="48" fillId="40" borderId="20" applyNumberFormat="0" applyProtection="0">
      <alignment vertical="center"/>
    </xf>
    <xf numFmtId="4" fontId="48" fillId="40" borderId="20" applyNumberFormat="0" applyProtection="0">
      <alignment vertical="center"/>
    </xf>
    <xf numFmtId="4" fontId="48" fillId="40" borderId="20" applyNumberFormat="0" applyProtection="0">
      <alignment vertical="center"/>
    </xf>
    <xf numFmtId="4" fontId="48" fillId="40" borderId="20" applyNumberFormat="0" applyProtection="0">
      <alignment vertical="center"/>
    </xf>
    <xf numFmtId="4" fontId="45" fillId="40" borderId="20" applyNumberFormat="0" applyProtection="0">
      <alignment horizontal="left" vertical="center" indent="1"/>
    </xf>
    <xf numFmtId="4" fontId="45" fillId="40" borderId="20" applyNumberFormat="0" applyProtection="0">
      <alignment horizontal="left" vertical="center" indent="1"/>
    </xf>
    <xf numFmtId="4" fontId="45" fillId="40" borderId="20" applyNumberFormat="0" applyProtection="0">
      <alignment horizontal="left" vertical="center" indent="1"/>
    </xf>
    <xf numFmtId="4" fontId="45" fillId="40" borderId="20" applyNumberFormat="0" applyProtection="0">
      <alignment horizontal="left" vertical="center" indent="1"/>
    </xf>
    <xf numFmtId="4" fontId="45" fillId="40" borderId="20" applyNumberFormat="0" applyProtection="0">
      <alignment horizontal="left" vertical="center" indent="1"/>
    </xf>
    <xf numFmtId="0" fontId="45" fillId="40" borderId="20" applyNumberFormat="0" applyProtection="0">
      <alignment horizontal="left" vertical="top" indent="1"/>
    </xf>
    <xf numFmtId="0" fontId="45" fillId="40" borderId="20" applyNumberFormat="0" applyProtection="0">
      <alignment horizontal="left" vertical="top" indent="1"/>
    </xf>
    <xf numFmtId="0" fontId="45" fillId="40" borderId="20" applyNumberFormat="0" applyProtection="0">
      <alignment horizontal="left" vertical="top" indent="1"/>
    </xf>
    <xf numFmtId="0" fontId="45" fillId="40" borderId="20" applyNumberFormat="0" applyProtection="0">
      <alignment horizontal="left" vertical="top" indent="1"/>
    </xf>
    <xf numFmtId="0" fontId="45" fillId="40" borderId="20" applyNumberFormat="0" applyProtection="0">
      <alignment horizontal="left" vertical="top" indent="1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5" fillId="34" borderId="20" applyNumberFormat="0" applyProtection="0">
      <alignment horizontal="right" vertical="center"/>
    </xf>
    <xf numFmtId="4" fontId="48" fillId="34" borderId="20" applyNumberFormat="0" applyProtection="0">
      <alignment horizontal="right" vertical="center"/>
    </xf>
    <xf numFmtId="4" fontId="48" fillId="34" borderId="20" applyNumberFormat="0" applyProtection="0">
      <alignment horizontal="right" vertical="center"/>
    </xf>
    <xf numFmtId="4" fontId="48" fillId="34" borderId="20" applyNumberFormat="0" applyProtection="0">
      <alignment horizontal="right" vertical="center"/>
    </xf>
    <xf numFmtId="4" fontId="48" fillId="34" borderId="20" applyNumberFormat="0" applyProtection="0">
      <alignment horizontal="right" vertical="center"/>
    </xf>
    <xf numFmtId="4" fontId="48" fillId="34" borderId="20" applyNumberFormat="0" applyProtection="0">
      <alignment horizontal="right" vertical="center"/>
    </xf>
    <xf numFmtId="4" fontId="45" fillId="36" borderId="20" applyNumberFormat="0" applyProtection="0">
      <alignment horizontal="left" vertical="center" indent="1"/>
    </xf>
    <xf numFmtId="4" fontId="45" fillId="36" borderId="20" applyNumberFormat="0" applyProtection="0">
      <alignment horizontal="left" vertical="center" indent="1"/>
    </xf>
    <xf numFmtId="4" fontId="45" fillId="36" borderId="20" applyNumberFormat="0" applyProtection="0">
      <alignment horizontal="left" vertical="center" indent="1"/>
    </xf>
    <xf numFmtId="4" fontId="45" fillId="36" borderId="20" applyNumberFormat="0" applyProtection="0">
      <alignment horizontal="left" vertical="center" indent="1"/>
    </xf>
    <xf numFmtId="4" fontId="45" fillId="36" borderId="20" applyNumberFormat="0" applyProtection="0">
      <alignment horizontal="left" vertical="center" indent="1"/>
    </xf>
    <xf numFmtId="0" fontId="45" fillId="37" borderId="20" applyNumberFormat="0" applyProtection="0">
      <alignment horizontal="left" vertical="top" indent="1"/>
    </xf>
    <xf numFmtId="0" fontId="45" fillId="37" borderId="20" applyNumberFormat="0" applyProtection="0">
      <alignment horizontal="left" vertical="top" indent="1"/>
    </xf>
    <xf numFmtId="0" fontId="45" fillId="37" borderId="20" applyNumberFormat="0" applyProtection="0">
      <alignment horizontal="left" vertical="top" indent="1"/>
    </xf>
    <xf numFmtId="0" fontId="45" fillId="37" borderId="20" applyNumberFormat="0" applyProtection="0">
      <alignment horizontal="left" vertical="top" indent="1"/>
    </xf>
    <xf numFmtId="0" fontId="45" fillId="37" borderId="20" applyNumberFormat="0" applyProtection="0">
      <alignment horizontal="left" vertical="top" indent="1"/>
    </xf>
    <xf numFmtId="4" fontId="49" fillId="41" borderId="0" applyNumberFormat="0" applyProtection="0">
      <alignment horizontal="left" vertical="center" indent="1"/>
    </xf>
    <xf numFmtId="4" fontId="50" fillId="34" borderId="20" applyNumberFormat="0" applyProtection="0">
      <alignment horizontal="right" vertical="center"/>
    </xf>
    <xf numFmtId="4" fontId="50" fillId="34" borderId="20" applyNumberFormat="0" applyProtection="0">
      <alignment horizontal="right" vertical="center"/>
    </xf>
    <xf numFmtId="4" fontId="50" fillId="34" borderId="20" applyNumberFormat="0" applyProtection="0">
      <alignment horizontal="right" vertical="center"/>
    </xf>
    <xf numFmtId="4" fontId="50" fillId="34" borderId="20" applyNumberFormat="0" applyProtection="0">
      <alignment horizontal="right" vertical="center"/>
    </xf>
    <xf numFmtId="4" fontId="50" fillId="34" borderId="20" applyNumberFormat="0" applyProtection="0">
      <alignment horizontal="right" vertical="center"/>
    </xf>
    <xf numFmtId="0" fontId="51" fillId="0" borderId="22" applyFont="0" applyFill="0" applyBorder="0" applyAlignment="0" applyProtection="0">
      <alignment horizontal="center" vertical="center" wrapText="1"/>
    </xf>
    <xf numFmtId="0" fontId="51" fillId="0" borderId="22" applyFont="0" applyFill="0" applyBorder="0" applyAlignment="0" applyProtection="0">
      <alignment horizontal="center" vertical="center" wrapText="1"/>
    </xf>
    <xf numFmtId="0" fontId="51" fillId="0" borderId="22" applyFont="0" applyBorder="0" applyAlignment="0">
      <alignment horizontal="center" vertical="center" wrapText="1"/>
    </xf>
    <xf numFmtId="0" fontId="51" fillId="0" borderId="22" applyFont="0" applyBorder="0" applyAlignment="0">
      <alignment horizontal="center" vertical="center" wrapText="1"/>
    </xf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174" fontId="26" fillId="0" borderId="0"/>
    <xf numFmtId="0" fontId="26" fillId="0" borderId="24">
      <alignment horizontal="left" indent="1"/>
    </xf>
    <xf numFmtId="0" fontId="54" fillId="42" borderId="24">
      <alignment horizontal="left" indent="1"/>
    </xf>
    <xf numFmtId="174" fontId="55" fillId="43" borderId="9"/>
    <xf numFmtId="174" fontId="55" fillId="43" borderId="9"/>
    <xf numFmtId="0" fontId="56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58" fillId="14" borderId="0" applyNumberFormat="0" applyBorder="0" applyAlignment="0" applyProtection="0"/>
    <xf numFmtId="0" fontId="58" fillId="5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54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9" borderId="0" applyNumberFormat="0" applyBorder="0" applyAlignment="0" applyProtection="0"/>
    <xf numFmtId="0" fontId="58" fillId="5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9" fillId="60" borderId="0" applyNumberFormat="0" applyBorder="0" applyAlignment="0" applyProtection="0"/>
    <xf numFmtId="0" fontId="59" fillId="61" borderId="0" applyNumberFormat="0" applyBorder="0" applyAlignment="0" applyProtection="0"/>
    <xf numFmtId="0" fontId="60" fillId="62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60" fillId="65" borderId="0" applyNumberFormat="0" applyBorder="0" applyAlignment="0" applyProtection="0"/>
    <xf numFmtId="0" fontId="59" fillId="66" borderId="0" applyNumberFormat="0" applyBorder="0" applyAlignment="0" applyProtection="0"/>
    <xf numFmtId="0" fontId="59" fillId="67" borderId="0" applyNumberFormat="0" applyBorder="0" applyAlignment="0" applyProtection="0"/>
    <xf numFmtId="0" fontId="60" fillId="68" borderId="0" applyNumberFormat="0" applyBorder="0" applyAlignment="0" applyProtection="0"/>
    <xf numFmtId="0" fontId="59" fillId="63" borderId="0" applyNumberFormat="0" applyBorder="0" applyAlignment="0" applyProtection="0"/>
    <xf numFmtId="0" fontId="59" fillId="69" borderId="0" applyNumberFormat="0" applyBorder="0" applyAlignment="0" applyProtection="0"/>
    <xf numFmtId="0" fontId="60" fillId="64" borderId="0" applyNumberFormat="0" applyBorder="0" applyAlignment="0" applyProtection="0"/>
    <xf numFmtId="0" fontId="59" fillId="70" borderId="0" applyNumberFormat="0" applyBorder="0" applyAlignment="0" applyProtection="0"/>
    <xf numFmtId="0" fontId="59" fillId="71" borderId="0" applyNumberFormat="0" applyBorder="0" applyAlignment="0" applyProtection="0"/>
    <xf numFmtId="0" fontId="60" fillId="62" borderId="0" applyNumberFormat="0" applyBorder="0" applyAlignment="0" applyProtection="0"/>
    <xf numFmtId="0" fontId="59" fillId="72" borderId="0" applyNumberFormat="0" applyBorder="0" applyAlignment="0" applyProtection="0"/>
    <xf numFmtId="0" fontId="59" fillId="73" borderId="0" applyNumberFormat="0" applyBorder="0" applyAlignment="0" applyProtection="0"/>
    <xf numFmtId="0" fontId="60" fillId="74" borderId="0" applyNumberFormat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174" fontId="26" fillId="0" borderId="11">
      <alignment horizontal="right" indent="1"/>
    </xf>
    <xf numFmtId="0" fontId="61" fillId="75" borderId="0" applyNumberFormat="0" applyBorder="0" applyAlignment="0" applyProtection="0"/>
    <xf numFmtId="0" fontId="61" fillId="76" borderId="0" applyNumberFormat="0" applyBorder="0" applyAlignment="0" applyProtection="0"/>
    <xf numFmtId="0" fontId="61" fillId="77" borderId="0" applyNumberFormat="0" applyBorder="0" applyAlignment="0" applyProtection="0"/>
    <xf numFmtId="176" fontId="27" fillId="0" borderId="0" applyFont="0" applyFill="0" applyBorder="0" applyAlignment="0" applyProtection="0"/>
    <xf numFmtId="177" fontId="6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5" fillId="26" borderId="11"/>
    <xf numFmtId="0" fontId="25" fillId="26" borderId="11"/>
    <xf numFmtId="0" fontId="25" fillId="26" borderId="11"/>
    <xf numFmtId="0" fontId="25" fillId="26" borderId="11"/>
    <xf numFmtId="0" fontId="25" fillId="26" borderId="11"/>
    <xf numFmtId="0" fontId="25" fillId="26" borderId="11"/>
    <xf numFmtId="0" fontId="25" fillId="26" borderId="11"/>
    <xf numFmtId="0" fontId="25" fillId="26" borderId="11"/>
    <xf numFmtId="0" fontId="6" fillId="0" borderId="0"/>
    <xf numFmtId="0" fontId="6" fillId="0" borderId="0"/>
    <xf numFmtId="0" fontId="26" fillId="0" borderId="0"/>
    <xf numFmtId="0" fontId="6" fillId="0" borderId="0"/>
    <xf numFmtId="0" fontId="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66" fillId="0" borderId="0"/>
    <xf numFmtId="0" fontId="67" fillId="0" borderId="0"/>
    <xf numFmtId="0" fontId="67" fillId="0" borderId="0"/>
    <xf numFmtId="0" fontId="6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20" fillId="0" borderId="0"/>
    <xf numFmtId="0" fontId="25" fillId="0" borderId="0"/>
    <xf numFmtId="0" fontId="27" fillId="0" borderId="0"/>
    <xf numFmtId="0" fontId="20" fillId="0" borderId="0"/>
    <xf numFmtId="0" fontId="27" fillId="0" borderId="0"/>
    <xf numFmtId="0" fontId="68" fillId="0" borderId="0"/>
    <xf numFmtId="0" fontId="40" fillId="0" borderId="0"/>
    <xf numFmtId="0" fontId="6" fillId="0" borderId="0"/>
    <xf numFmtId="0" fontId="40" fillId="0" borderId="0"/>
    <xf numFmtId="0" fontId="27" fillId="0" borderId="0"/>
    <xf numFmtId="9" fontId="6" fillId="0" borderId="0" applyFont="0" applyFill="0" applyBorder="0" applyAlignment="0" applyProtection="0"/>
    <xf numFmtId="0" fontId="6" fillId="45" borderId="25" applyNumberFormat="0" applyFont="0" applyAlignment="0" applyProtection="0"/>
    <xf numFmtId="0" fontId="6" fillId="45" borderId="25" applyNumberFormat="0" applyFont="0" applyAlignment="0" applyProtection="0"/>
    <xf numFmtId="0" fontId="6" fillId="45" borderId="25" applyNumberFormat="0" applyFont="0" applyAlignment="0" applyProtection="0"/>
    <xf numFmtId="0" fontId="6" fillId="45" borderId="25" applyNumberFormat="0" applyFont="0" applyAlignment="0" applyProtection="0"/>
    <xf numFmtId="0" fontId="20" fillId="45" borderId="25" applyNumberFormat="0" applyFont="0" applyAlignment="0" applyProtection="0"/>
    <xf numFmtId="0" fontId="6" fillId="45" borderId="25" applyNumberFormat="0" applyFont="0" applyAlignment="0" applyProtection="0"/>
    <xf numFmtId="0" fontId="6" fillId="45" borderId="25" applyNumberFormat="0" applyFont="0" applyAlignment="0" applyProtection="0"/>
    <xf numFmtId="0" fontId="20" fillId="45" borderId="25" applyNumberFormat="0" applyFont="0" applyAlignment="0" applyProtection="0"/>
    <xf numFmtId="0" fontId="6" fillId="45" borderId="25" applyNumberFormat="0" applyFont="0" applyAlignment="0" applyProtection="0"/>
    <xf numFmtId="0" fontId="6" fillId="45" borderId="25" applyNumberFormat="0" applyFont="0" applyAlignment="0" applyProtection="0"/>
    <xf numFmtId="0" fontId="20" fillId="45" borderId="25" applyNumberFormat="0" applyFont="0" applyAlignment="0" applyProtection="0"/>
    <xf numFmtId="4" fontId="69" fillId="31" borderId="26" applyNumberFormat="0" applyProtection="0">
      <alignment vertical="center"/>
    </xf>
    <xf numFmtId="4" fontId="69" fillId="31" borderId="26" applyNumberFormat="0" applyProtection="0">
      <alignment vertical="center"/>
    </xf>
    <xf numFmtId="4" fontId="70" fillId="31" borderId="26" applyNumberFormat="0" applyProtection="0">
      <alignment vertical="center"/>
    </xf>
    <xf numFmtId="4" fontId="70" fillId="31" borderId="26" applyNumberFormat="0" applyProtection="0">
      <alignment vertical="center"/>
    </xf>
    <xf numFmtId="4" fontId="71" fillId="40" borderId="26" applyNumberFormat="0" applyProtection="0">
      <alignment horizontal="left" vertical="center" indent="1"/>
    </xf>
    <xf numFmtId="4" fontId="71" fillId="40" borderId="26" applyNumberFormat="0" applyProtection="0">
      <alignment horizontal="left" vertical="center" indent="1"/>
    </xf>
    <xf numFmtId="4" fontId="72" fillId="7" borderId="26" applyNumberFormat="0" applyProtection="0">
      <alignment horizontal="right" vertical="center"/>
    </xf>
    <xf numFmtId="4" fontId="72" fillId="7" borderId="26" applyNumberFormat="0" applyProtection="0">
      <alignment horizontal="right" vertical="center"/>
    </xf>
    <xf numFmtId="4" fontId="72" fillId="78" borderId="26" applyNumberFormat="0" applyProtection="0">
      <alignment horizontal="right" vertical="center"/>
    </xf>
    <xf numFmtId="4" fontId="72" fillId="78" borderId="26" applyNumberFormat="0" applyProtection="0">
      <alignment horizontal="right" vertical="center"/>
    </xf>
    <xf numFmtId="4" fontId="72" fillId="15" borderId="26" applyNumberFormat="0" applyProtection="0">
      <alignment horizontal="right" vertical="center"/>
    </xf>
    <xf numFmtId="4" fontId="72" fillId="15" borderId="26" applyNumberFormat="0" applyProtection="0">
      <alignment horizontal="right" vertical="center"/>
    </xf>
    <xf numFmtId="4" fontId="72" fillId="19" borderId="26" applyNumberFormat="0" applyProtection="0">
      <alignment horizontal="right" vertical="center"/>
    </xf>
    <xf numFmtId="4" fontId="72" fillId="19" borderId="26" applyNumberFormat="0" applyProtection="0">
      <alignment horizontal="right" vertical="center"/>
    </xf>
    <xf numFmtId="4" fontId="72" fillId="23" borderId="26" applyNumberFormat="0" applyProtection="0">
      <alignment horizontal="right" vertical="center"/>
    </xf>
    <xf numFmtId="4" fontId="72" fillId="23" borderId="26" applyNumberFormat="0" applyProtection="0">
      <alignment horizontal="right" vertical="center"/>
    </xf>
    <xf numFmtId="4" fontId="72" fillId="22" borderId="26" applyNumberFormat="0" applyProtection="0">
      <alignment horizontal="right" vertical="center"/>
    </xf>
    <xf numFmtId="4" fontId="72" fillId="22" borderId="26" applyNumberFormat="0" applyProtection="0">
      <alignment horizontal="right" vertical="center"/>
    </xf>
    <xf numFmtId="4" fontId="72" fillId="32" borderId="26" applyNumberFormat="0" applyProtection="0">
      <alignment horizontal="right" vertical="center"/>
    </xf>
    <xf numFmtId="4" fontId="72" fillId="32" borderId="26" applyNumberFormat="0" applyProtection="0">
      <alignment horizontal="right" vertical="center"/>
    </xf>
    <xf numFmtId="4" fontId="72" fillId="14" borderId="26" applyNumberFormat="0" applyProtection="0">
      <alignment horizontal="right" vertical="center"/>
    </xf>
    <xf numFmtId="4" fontId="72" fillId="14" borderId="26" applyNumberFormat="0" applyProtection="0">
      <alignment horizontal="right" vertical="center"/>
    </xf>
    <xf numFmtId="4" fontId="72" fillId="33" borderId="27" applyNumberFormat="0" applyProtection="0">
      <alignment horizontal="left" vertical="center" indent="1"/>
    </xf>
    <xf numFmtId="4" fontId="72" fillId="79" borderId="26" applyNumberFormat="0" applyProtection="0">
      <alignment horizontal="left" vertical="center" indent="1"/>
    </xf>
    <xf numFmtId="4" fontId="72" fillId="79" borderId="26" applyNumberFormat="0" applyProtection="0">
      <alignment horizontal="left" vertical="center" indent="1"/>
    </xf>
    <xf numFmtId="4" fontId="72" fillId="79" borderId="26" applyNumberFormat="0" applyProtection="0">
      <alignment horizontal="left" vertical="center" indent="1"/>
    </xf>
    <xf numFmtId="4" fontId="72" fillId="79" borderId="26" applyNumberFormat="0" applyProtection="0">
      <alignment horizontal="left" vertical="center" indent="1"/>
    </xf>
    <xf numFmtId="4" fontId="73" fillId="80" borderId="27" applyNumberFormat="0" applyProtection="0">
      <alignment horizontal="left" vertical="center" indent="1"/>
    </xf>
    <xf numFmtId="4" fontId="72" fillId="36" borderId="26" applyNumberFormat="0" applyProtection="0">
      <alignment horizontal="right" vertical="center"/>
    </xf>
    <xf numFmtId="4" fontId="72" fillId="36" borderId="26" applyNumberFormat="0" applyProtection="0">
      <alignment horizontal="right" vertical="center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0" fontId="72" fillId="24" borderId="26" applyNumberFormat="0" applyProtection="0">
      <alignment horizontal="left" vertical="center" indent="1"/>
    </xf>
    <xf numFmtId="0" fontId="72" fillId="24" borderId="26" applyNumberFormat="0" applyProtection="0">
      <alignment horizontal="left" vertical="center" indent="1"/>
    </xf>
    <xf numFmtId="0" fontId="67" fillId="80" borderId="20" applyNumberFormat="0" applyProtection="0">
      <alignment horizontal="left" vertical="top" indent="1"/>
    </xf>
    <xf numFmtId="0" fontId="67" fillId="80" borderId="20" applyNumberFormat="0" applyProtection="0">
      <alignment horizontal="left" vertical="top" indent="1"/>
    </xf>
    <xf numFmtId="0" fontId="72" fillId="81" borderId="26" applyNumberFormat="0" applyProtection="0">
      <alignment horizontal="left" vertical="center" indent="1"/>
    </xf>
    <xf numFmtId="0" fontId="72" fillId="81" borderId="26" applyNumberFormat="0" applyProtection="0">
      <alignment horizontal="left" vertical="center" indent="1"/>
    </xf>
    <xf numFmtId="0" fontId="67" fillId="36" borderId="20" applyNumberFormat="0" applyProtection="0">
      <alignment horizontal="left" vertical="top" indent="1"/>
    </xf>
    <xf numFmtId="0" fontId="67" fillId="36" borderId="20" applyNumberFormat="0" applyProtection="0">
      <alignment horizontal="left" vertical="top" indent="1"/>
    </xf>
    <xf numFmtId="0" fontId="72" fillId="12" borderId="26" applyNumberFormat="0" applyProtection="0">
      <alignment horizontal="left" vertical="center" indent="1"/>
    </xf>
    <xf numFmtId="0" fontId="72" fillId="12" borderId="26" applyNumberFormat="0" applyProtection="0">
      <alignment horizontal="left" vertical="center" indent="1"/>
    </xf>
    <xf numFmtId="0" fontId="67" fillId="12" borderId="20" applyNumberFormat="0" applyProtection="0">
      <alignment horizontal="left" vertical="top" indent="1"/>
    </xf>
    <xf numFmtId="0" fontId="67" fillId="12" borderId="20" applyNumberFormat="0" applyProtection="0">
      <alignment horizontal="left" vertical="top" indent="1"/>
    </xf>
    <xf numFmtId="0" fontId="72" fillId="34" borderId="26" applyNumberFormat="0" applyProtection="0">
      <alignment horizontal="left" vertical="center" indent="1"/>
    </xf>
    <xf numFmtId="0" fontId="72" fillId="34" borderId="26" applyNumberFormat="0" applyProtection="0">
      <alignment horizontal="left" vertical="center" indent="1"/>
    </xf>
    <xf numFmtId="0" fontId="67" fillId="34" borderId="20" applyNumberFormat="0" applyProtection="0">
      <alignment horizontal="left" vertical="top" indent="1"/>
    </xf>
    <xf numFmtId="0" fontId="67" fillId="34" borderId="20" applyNumberFormat="0" applyProtection="0">
      <alignment horizontal="left" vertical="top" indent="1"/>
    </xf>
    <xf numFmtId="4" fontId="71" fillId="82" borderId="26" applyNumberFormat="0" applyProtection="0">
      <alignment horizontal="left" vertical="center" indent="1"/>
    </xf>
    <xf numFmtId="4" fontId="71" fillId="82" borderId="26" applyNumberFormat="0" applyProtection="0">
      <alignment horizontal="left" vertical="center" indent="1"/>
    </xf>
    <xf numFmtId="4" fontId="71" fillId="82" borderId="26" applyNumberFormat="0" applyProtection="0">
      <alignment horizontal="left" vertical="center" indent="1"/>
    </xf>
    <xf numFmtId="4" fontId="71" fillId="82" borderId="26" applyNumberFormat="0" applyProtection="0">
      <alignment horizontal="left" vertical="center" indent="1"/>
    </xf>
    <xf numFmtId="0" fontId="67" fillId="83" borderId="28" applyNumberFormat="0">
      <protection locked="0"/>
    </xf>
    <xf numFmtId="0" fontId="67" fillId="83" borderId="28" applyNumberFormat="0">
      <protection locked="0"/>
    </xf>
    <xf numFmtId="0" fontId="67" fillId="83" borderId="28" applyNumberFormat="0">
      <protection locked="0"/>
    </xf>
    <xf numFmtId="0" fontId="67" fillId="83" borderId="28" applyNumberFormat="0">
      <protection locked="0"/>
    </xf>
    <xf numFmtId="0" fontId="67" fillId="83" borderId="28" applyNumberFormat="0">
      <protection locked="0"/>
    </xf>
    <xf numFmtId="0" fontId="71" fillId="84" borderId="29"/>
    <xf numFmtId="4" fontId="72" fillId="0" borderId="26" applyNumberFormat="0" applyProtection="0">
      <alignment horizontal="right" vertical="center"/>
    </xf>
    <xf numFmtId="4" fontId="72" fillId="0" borderId="26" applyNumberFormat="0" applyProtection="0">
      <alignment horizontal="right" vertical="center"/>
    </xf>
    <xf numFmtId="4" fontId="70" fillId="79" borderId="26" applyNumberFormat="0" applyProtection="0">
      <alignment horizontal="right" vertical="center"/>
    </xf>
    <xf numFmtId="4" fontId="70" fillId="79" borderId="26" applyNumberFormat="0" applyProtection="0">
      <alignment horizontal="right" vertical="center"/>
    </xf>
    <xf numFmtId="4" fontId="72" fillId="85" borderId="26" applyNumberFormat="0" applyProtection="0">
      <alignment horizontal="left" vertical="center" indent="1"/>
    </xf>
    <xf numFmtId="4" fontId="72" fillId="85" borderId="26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4" fontId="49" fillId="41" borderId="0" applyNumberFormat="0" applyProtection="0">
      <alignment horizontal="left" vertical="center" indent="1"/>
    </xf>
    <xf numFmtId="0" fontId="74" fillId="0" borderId="11"/>
    <xf numFmtId="0" fontId="74" fillId="0" borderId="11"/>
    <xf numFmtId="0" fontId="75" fillId="0" borderId="0" applyNumberFormat="0" applyFill="0" applyBorder="0" applyAlignment="0" applyProtection="0"/>
    <xf numFmtId="0" fontId="23" fillId="24" borderId="31" applyNumberFormat="0" applyAlignment="0" applyProtection="0"/>
    <xf numFmtId="0" fontId="34" fillId="11" borderId="31" applyNumberFormat="0" applyAlignment="0" applyProtection="0"/>
    <xf numFmtId="174" fontId="26" fillId="0" borderId="1">
      <alignment horizontal="right" indent="1"/>
    </xf>
    <xf numFmtId="0" fontId="20" fillId="29" borderId="32" applyNumberFormat="0" applyFont="0" applyAlignment="0" applyProtection="0"/>
    <xf numFmtId="0" fontId="53" fillId="0" borderId="34" applyNumberFormat="0" applyFill="0" applyAlignment="0" applyProtection="0"/>
    <xf numFmtId="0" fontId="77" fillId="86" borderId="0" applyNumberFormat="0" applyBorder="0" applyAlignment="0" applyProtection="0"/>
    <xf numFmtId="0" fontId="27" fillId="37" borderId="36" applyNumberFormat="0" applyProtection="0">
      <alignment horizontal="left" vertical="center" indent="1"/>
    </xf>
    <xf numFmtId="0" fontId="27" fillId="35" borderId="36" applyNumberFormat="0" applyProtection="0">
      <alignment horizontal="left" vertical="top" indent="1"/>
    </xf>
    <xf numFmtId="0" fontId="23" fillId="24" borderId="31" applyNumberFormat="0" applyAlignment="0" applyProtection="0"/>
    <xf numFmtId="174" fontId="26" fillId="0" borderId="35">
      <alignment horizontal="right" indent="1"/>
    </xf>
    <xf numFmtId="0" fontId="34" fillId="11" borderId="31" applyNumberFormat="0" applyAlignment="0" applyProtection="0"/>
    <xf numFmtId="0" fontId="20" fillId="29" borderId="32" applyNumberFormat="0" applyFont="0" applyAlignment="0" applyProtection="0"/>
    <xf numFmtId="0" fontId="53" fillId="0" borderId="34" applyNumberFormat="0" applyFill="0" applyAlignment="0" applyProtection="0"/>
    <xf numFmtId="174" fontId="26" fillId="0" borderId="35">
      <alignment horizontal="right" indent="1"/>
    </xf>
    <xf numFmtId="0" fontId="23" fillId="24" borderId="31" applyNumberFormat="0" applyAlignment="0" applyProtection="0"/>
    <xf numFmtId="0" fontId="34" fillId="11" borderId="31" applyNumberFormat="0" applyAlignment="0" applyProtection="0"/>
    <xf numFmtId="0" fontId="24" fillId="29" borderId="32" applyNumberFormat="0" applyFont="0" applyAlignment="0" applyProtection="0"/>
    <xf numFmtId="0" fontId="41" fillId="24" borderId="33" applyNumberFormat="0" applyAlignment="0" applyProtection="0"/>
    <xf numFmtId="4" fontId="43" fillId="28" borderId="36" applyNumberFormat="0" applyProtection="0">
      <alignment vertical="center"/>
    </xf>
    <xf numFmtId="4" fontId="44" fillId="31" borderId="36" applyNumberFormat="0" applyProtection="0">
      <alignment vertical="center"/>
    </xf>
    <xf numFmtId="4" fontId="43" fillId="31" borderId="36" applyNumberFormat="0" applyProtection="0">
      <alignment horizontal="left" vertical="center" indent="1"/>
    </xf>
    <xf numFmtId="0" fontId="43" fillId="31" borderId="36" applyNumberFormat="0" applyProtection="0">
      <alignment horizontal="left" vertical="top" indent="1"/>
    </xf>
    <xf numFmtId="4" fontId="45" fillId="7" borderId="36" applyNumberFormat="0" applyProtection="0">
      <alignment horizontal="right" vertical="center"/>
    </xf>
    <xf numFmtId="4" fontId="45" fillId="13" borderId="36" applyNumberFormat="0" applyProtection="0">
      <alignment horizontal="right" vertical="center"/>
    </xf>
    <xf numFmtId="4" fontId="45" fillId="21" borderId="36" applyNumberFormat="0" applyProtection="0">
      <alignment horizontal="right" vertical="center"/>
    </xf>
    <xf numFmtId="4" fontId="45" fillId="15" borderId="36" applyNumberFormat="0" applyProtection="0">
      <alignment horizontal="right" vertical="center"/>
    </xf>
    <xf numFmtId="4" fontId="45" fillId="19" borderId="36" applyNumberFormat="0" applyProtection="0">
      <alignment horizontal="right" vertical="center"/>
    </xf>
    <xf numFmtId="4" fontId="45" fillId="23" borderId="36" applyNumberFormat="0" applyProtection="0">
      <alignment horizontal="right" vertical="center"/>
    </xf>
    <xf numFmtId="4" fontId="45" fillId="22" borderId="36" applyNumberFormat="0" applyProtection="0">
      <alignment horizontal="right" vertical="center"/>
    </xf>
    <xf numFmtId="4" fontId="45" fillId="32" borderId="36" applyNumberFormat="0" applyProtection="0">
      <alignment horizontal="right" vertical="center"/>
    </xf>
    <xf numFmtId="4" fontId="45" fillId="14" borderId="36" applyNumberFormat="0" applyProtection="0">
      <alignment horizontal="right" vertical="center"/>
    </xf>
    <xf numFmtId="4" fontId="45" fillId="36" borderId="36" applyNumberFormat="0" applyProtection="0">
      <alignment horizontal="right" vertical="center"/>
    </xf>
    <xf numFmtId="174" fontId="42" fillId="30" borderId="41" applyAlignment="0" applyProtection="0"/>
    <xf numFmtId="0" fontId="27" fillId="35" borderId="36" applyNumberFormat="0" applyProtection="0">
      <alignment horizontal="left" vertical="center" indent="1"/>
    </xf>
    <xf numFmtId="0" fontId="27" fillId="35" borderId="36" applyNumberFormat="0" applyProtection="0">
      <alignment horizontal="left" vertical="top" indent="1"/>
    </xf>
    <xf numFmtId="0" fontId="27" fillId="37" borderId="36" applyNumberFormat="0" applyProtection="0">
      <alignment horizontal="left" vertical="center" indent="1"/>
    </xf>
    <xf numFmtId="0" fontId="27" fillId="37" borderId="36" applyNumberFormat="0" applyProtection="0">
      <alignment horizontal="left" vertical="top" indent="1"/>
    </xf>
    <xf numFmtId="0" fontId="27" fillId="38" borderId="36" applyNumberFormat="0" applyProtection="0">
      <alignment horizontal="left" vertical="center" indent="1"/>
    </xf>
    <xf numFmtId="0" fontId="27" fillId="38" borderId="36" applyNumberFormat="0" applyProtection="0">
      <alignment horizontal="left" vertical="top" indent="1"/>
    </xf>
    <xf numFmtId="0" fontId="27" fillId="39" borderId="36" applyNumberFormat="0" applyProtection="0">
      <alignment horizontal="left" vertical="center" indent="1"/>
    </xf>
    <xf numFmtId="0" fontId="27" fillId="39" borderId="36" applyNumberFormat="0" applyProtection="0">
      <alignment horizontal="left" vertical="top" indent="1"/>
    </xf>
    <xf numFmtId="4" fontId="45" fillId="40" borderId="36" applyNumberFormat="0" applyProtection="0">
      <alignment vertical="center"/>
    </xf>
    <xf numFmtId="4" fontId="48" fillId="40" borderId="36" applyNumberFormat="0" applyProtection="0">
      <alignment vertical="center"/>
    </xf>
    <xf numFmtId="4" fontId="45" fillId="40" borderId="36" applyNumberFormat="0" applyProtection="0">
      <alignment horizontal="left" vertical="center" indent="1"/>
    </xf>
    <xf numFmtId="0" fontId="45" fillId="40" borderId="36" applyNumberFormat="0" applyProtection="0">
      <alignment horizontal="left" vertical="top" indent="1"/>
    </xf>
    <xf numFmtId="4" fontId="45" fillId="34" borderId="36" applyNumberFormat="0" applyProtection="0">
      <alignment horizontal="right" vertical="center"/>
    </xf>
    <xf numFmtId="4" fontId="48" fillId="34" borderId="36" applyNumberFormat="0" applyProtection="0">
      <alignment horizontal="right" vertical="center"/>
    </xf>
    <xf numFmtId="4" fontId="45" fillId="36" borderId="36" applyNumberFormat="0" applyProtection="0">
      <alignment horizontal="left" vertical="center" indent="1"/>
    </xf>
    <xf numFmtId="0" fontId="45" fillId="37" borderId="36" applyNumberFormat="0" applyProtection="0">
      <alignment horizontal="left" vertical="top" indent="1"/>
    </xf>
    <xf numFmtId="4" fontId="50" fillId="34" borderId="36" applyNumberFormat="0" applyProtection="0">
      <alignment horizontal="right" vertical="center"/>
    </xf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4" fontId="45" fillId="13" borderId="36" applyNumberFormat="0" applyProtection="0">
      <alignment horizontal="right" vertical="center"/>
    </xf>
    <xf numFmtId="0" fontId="53" fillId="0" borderId="34" applyNumberFormat="0" applyFill="0" applyAlignment="0" applyProtection="0"/>
    <xf numFmtId="4" fontId="45" fillId="15" borderId="36" applyNumberFormat="0" applyProtection="0">
      <alignment horizontal="right" vertical="center"/>
    </xf>
    <xf numFmtId="0" fontId="25" fillId="26" borderId="35"/>
    <xf numFmtId="4" fontId="45" fillId="13" borderId="36" applyNumberFormat="0" applyProtection="0">
      <alignment horizontal="right" vertical="center"/>
    </xf>
    <xf numFmtId="0" fontId="25" fillId="26" borderId="35"/>
    <xf numFmtId="4" fontId="43" fillId="28" borderId="36" applyNumberFormat="0" applyProtection="0">
      <alignment vertical="center"/>
    </xf>
    <xf numFmtId="174" fontId="26" fillId="0" borderId="35">
      <alignment horizontal="right" indent="1"/>
    </xf>
    <xf numFmtId="4" fontId="45" fillId="34" borderId="36" applyNumberFormat="0" applyProtection="0">
      <alignment horizontal="right" vertical="center"/>
    </xf>
    <xf numFmtId="0" fontId="53" fillId="0" borderId="34" applyNumberFormat="0" applyFill="0" applyAlignment="0" applyProtection="0"/>
    <xf numFmtId="0" fontId="24" fillId="29" borderId="32" applyNumberFormat="0" applyFont="0" applyAlignment="0" applyProtection="0"/>
    <xf numFmtId="0" fontId="25" fillId="26" borderId="35"/>
    <xf numFmtId="4" fontId="45" fillId="19" borderId="36" applyNumberFormat="0" applyProtection="0">
      <alignment horizontal="right" vertical="center"/>
    </xf>
    <xf numFmtId="4" fontId="45" fillId="13" borderId="36" applyNumberFormat="0" applyProtection="0">
      <alignment horizontal="right" vertical="center"/>
    </xf>
    <xf numFmtId="4" fontId="45" fillId="21" borderId="36" applyNumberFormat="0" applyProtection="0">
      <alignment horizontal="right" vertical="center"/>
    </xf>
    <xf numFmtId="4" fontId="45" fillId="19" borderId="36" applyNumberFormat="0" applyProtection="0">
      <alignment horizontal="right" vertical="center"/>
    </xf>
    <xf numFmtId="4" fontId="45" fillId="23" borderId="36" applyNumberFormat="0" applyProtection="0">
      <alignment horizontal="right" vertical="center"/>
    </xf>
    <xf numFmtId="4" fontId="45" fillId="32" borderId="36" applyNumberFormat="0" applyProtection="0">
      <alignment horizontal="right" vertical="center"/>
    </xf>
    <xf numFmtId="0" fontId="25" fillId="26" borderId="35"/>
    <xf numFmtId="0" fontId="27" fillId="38" borderId="36" applyNumberFormat="0" applyProtection="0">
      <alignment horizontal="left" vertical="center" indent="1"/>
    </xf>
    <xf numFmtId="0" fontId="27" fillId="38" borderId="36" applyNumberFormat="0" applyProtection="0">
      <alignment horizontal="left" vertical="top" indent="1"/>
    </xf>
    <xf numFmtId="0" fontId="27" fillId="39" borderId="36" applyNumberFormat="0" applyProtection="0">
      <alignment horizontal="left" vertical="top" indent="1"/>
    </xf>
    <xf numFmtId="4" fontId="45" fillId="34" borderId="36" applyNumberFormat="0" applyProtection="0">
      <alignment horizontal="right" vertical="center"/>
    </xf>
    <xf numFmtId="0" fontId="45" fillId="37" borderId="36" applyNumberFormat="0" applyProtection="0">
      <alignment horizontal="left" vertical="top" indent="1"/>
    </xf>
    <xf numFmtId="0" fontId="34" fillId="11" borderId="31" applyNumberFormat="0" applyAlignment="0" applyProtection="0"/>
    <xf numFmtId="4" fontId="48" fillId="34" borderId="36" applyNumberFormat="0" applyProtection="0">
      <alignment horizontal="right" vertical="center"/>
    </xf>
    <xf numFmtId="0" fontId="20" fillId="29" borderId="32" applyNumberFormat="0" applyFont="0" applyAlignment="0" applyProtection="0"/>
    <xf numFmtId="0" fontId="27" fillId="39" borderId="36" applyNumberFormat="0" applyProtection="0">
      <alignment horizontal="left" vertical="top" indent="1"/>
    </xf>
    <xf numFmtId="0" fontId="27" fillId="38" borderId="36" applyNumberFormat="0" applyProtection="0">
      <alignment horizontal="left" vertical="top" indent="1"/>
    </xf>
    <xf numFmtId="4" fontId="43" fillId="28" borderId="36" applyNumberFormat="0" applyProtection="0">
      <alignment vertical="center"/>
    </xf>
    <xf numFmtId="4" fontId="45" fillId="7" borderId="36" applyNumberFormat="0" applyProtection="0">
      <alignment horizontal="right" vertical="center"/>
    </xf>
    <xf numFmtId="4" fontId="45" fillId="15" borderId="36" applyNumberFormat="0" applyProtection="0">
      <alignment horizontal="right" vertical="center"/>
    </xf>
    <xf numFmtId="0" fontId="34" fillId="11" borderId="31" applyNumberFormat="0" applyAlignment="0" applyProtection="0"/>
    <xf numFmtId="4" fontId="45" fillId="40" borderId="36" applyNumberFormat="0" applyProtection="0">
      <alignment vertical="center"/>
    </xf>
    <xf numFmtId="0" fontId="45" fillId="40" borderId="36" applyNumberFormat="0" applyProtection="0">
      <alignment horizontal="left" vertical="top" indent="1"/>
    </xf>
    <xf numFmtId="0" fontId="53" fillId="0" borderId="34" applyNumberFormat="0" applyFill="0" applyAlignment="0" applyProtection="0"/>
    <xf numFmtId="174" fontId="26" fillId="0" borderId="35">
      <alignment horizontal="right" indent="1"/>
    </xf>
    <xf numFmtId="4" fontId="43" fillId="31" borderId="36" applyNumberFormat="0" applyProtection="0">
      <alignment horizontal="left" vertical="center" indent="1"/>
    </xf>
    <xf numFmtId="0" fontId="45" fillId="37" borderId="36" applyNumberFormat="0" applyProtection="0">
      <alignment horizontal="left" vertical="top" indent="1"/>
    </xf>
    <xf numFmtId="0" fontId="23" fillId="24" borderId="31" applyNumberFormat="0" applyAlignment="0" applyProtection="0"/>
    <xf numFmtId="4" fontId="45" fillId="32" borderId="36" applyNumberFormat="0" applyProtection="0">
      <alignment horizontal="right" vertical="center"/>
    </xf>
    <xf numFmtId="174" fontId="26" fillId="0" borderId="35">
      <alignment horizontal="right" indent="1"/>
    </xf>
    <xf numFmtId="4" fontId="50" fillId="34" borderId="36" applyNumberFormat="0" applyProtection="0">
      <alignment horizontal="right" vertical="center"/>
    </xf>
    <xf numFmtId="4" fontId="44" fillId="31" borderId="36" applyNumberFormat="0" applyProtection="0">
      <alignment vertical="center"/>
    </xf>
    <xf numFmtId="0" fontId="20" fillId="29" borderId="32" applyNumberFormat="0" applyFont="0" applyAlignment="0" applyProtection="0"/>
    <xf numFmtId="174" fontId="26" fillId="0" borderId="35">
      <alignment horizontal="right" indent="1"/>
    </xf>
    <xf numFmtId="4" fontId="45" fillId="7" borderId="36" applyNumberFormat="0" applyProtection="0">
      <alignment horizontal="right" vertical="center"/>
    </xf>
    <xf numFmtId="4" fontId="45" fillId="21" borderId="36" applyNumberFormat="0" applyProtection="0">
      <alignment horizontal="right" vertical="center"/>
    </xf>
    <xf numFmtId="4" fontId="45" fillId="14" borderId="36" applyNumberFormat="0" applyProtection="0">
      <alignment horizontal="right" vertical="center"/>
    </xf>
    <xf numFmtId="4" fontId="45" fillId="40" borderId="36" applyNumberFormat="0" applyProtection="0">
      <alignment horizontal="left" vertical="center" indent="1"/>
    </xf>
    <xf numFmtId="4" fontId="44" fillId="31" borderId="36" applyNumberFormat="0" applyProtection="0">
      <alignment vertical="center"/>
    </xf>
    <xf numFmtId="4" fontId="48" fillId="40" borderId="36" applyNumberFormat="0" applyProtection="0">
      <alignment vertical="center"/>
    </xf>
    <xf numFmtId="4" fontId="48" fillId="34" borderId="36" applyNumberFormat="0" applyProtection="0">
      <alignment horizontal="right" vertical="center"/>
    </xf>
    <xf numFmtId="4" fontId="43" fillId="31" borderId="36" applyNumberFormat="0" applyProtection="0">
      <alignment horizontal="left" vertical="center" indent="1"/>
    </xf>
    <xf numFmtId="0" fontId="23" fillId="24" borderId="31" applyNumberFormat="0" applyAlignment="0" applyProtection="0"/>
    <xf numFmtId="0" fontId="34" fillId="11" borderId="31" applyNumberFormat="0" applyAlignment="0" applyProtection="0"/>
    <xf numFmtId="0" fontId="27" fillId="37" borderId="36" applyNumberFormat="0" applyProtection="0">
      <alignment horizontal="left" vertical="center" indent="1"/>
    </xf>
    <xf numFmtId="4" fontId="45" fillId="14" borderId="36" applyNumberFormat="0" applyProtection="0">
      <alignment horizontal="right" vertical="center"/>
    </xf>
    <xf numFmtId="174" fontId="26" fillId="0" borderId="35">
      <alignment horizontal="right" indent="1"/>
    </xf>
    <xf numFmtId="4" fontId="45" fillId="23" borderId="36" applyNumberFormat="0" applyProtection="0">
      <alignment horizontal="right" vertical="center"/>
    </xf>
    <xf numFmtId="0" fontId="23" fillId="24" borderId="31" applyNumberFormat="0" applyAlignment="0" applyProtection="0"/>
    <xf numFmtId="174" fontId="26" fillId="0" borderId="35">
      <alignment horizontal="right" indent="1"/>
    </xf>
    <xf numFmtId="0" fontId="24" fillId="29" borderId="32" applyNumberFormat="0" applyFont="0" applyAlignment="0" applyProtection="0"/>
    <xf numFmtId="0" fontId="41" fillId="24" borderId="33" applyNumberFormat="0" applyAlignment="0" applyProtection="0"/>
    <xf numFmtId="4" fontId="45" fillId="40" borderId="36" applyNumberFormat="0" applyProtection="0">
      <alignment horizontal="left" vertical="center" indent="1"/>
    </xf>
    <xf numFmtId="4" fontId="48" fillId="40" borderId="36" applyNumberFormat="0" applyProtection="0">
      <alignment vertical="center"/>
    </xf>
    <xf numFmtId="0" fontId="27" fillId="38" borderId="36" applyNumberFormat="0" applyProtection="0">
      <alignment horizontal="left" vertical="center" indent="1"/>
    </xf>
    <xf numFmtId="0" fontId="27" fillId="35" borderId="36" applyNumberFormat="0" applyProtection="0">
      <alignment horizontal="left" vertical="top" indent="1"/>
    </xf>
    <xf numFmtId="4" fontId="43" fillId="28" borderId="36" applyNumberFormat="0" applyProtection="0">
      <alignment vertical="center"/>
    </xf>
    <xf numFmtId="4" fontId="44" fillId="31" borderId="36" applyNumberFormat="0" applyProtection="0">
      <alignment vertical="center"/>
    </xf>
    <xf numFmtId="4" fontId="43" fillId="31" borderId="36" applyNumberFormat="0" applyProtection="0">
      <alignment horizontal="left" vertical="center" indent="1"/>
    </xf>
    <xf numFmtId="0" fontId="43" fillId="31" borderId="36" applyNumberFormat="0" applyProtection="0">
      <alignment horizontal="left" vertical="top" indent="1"/>
    </xf>
    <xf numFmtId="4" fontId="45" fillId="7" borderId="36" applyNumberFormat="0" applyProtection="0">
      <alignment horizontal="right" vertical="center"/>
    </xf>
    <xf numFmtId="4" fontId="45" fillId="15" borderId="36" applyNumberFormat="0" applyProtection="0">
      <alignment horizontal="right" vertical="center"/>
    </xf>
    <xf numFmtId="4" fontId="45" fillId="22" borderId="36" applyNumberFormat="0" applyProtection="0">
      <alignment horizontal="right" vertical="center"/>
    </xf>
    <xf numFmtId="4" fontId="45" fillId="19" borderId="36" applyNumberFormat="0" applyProtection="0">
      <alignment horizontal="right" vertical="center"/>
    </xf>
    <xf numFmtId="4" fontId="45" fillId="36" borderId="36" applyNumberFormat="0" applyProtection="0">
      <alignment horizontal="right" vertical="center"/>
    </xf>
    <xf numFmtId="0" fontId="27" fillId="35" borderId="36" applyNumberFormat="0" applyProtection="0">
      <alignment horizontal="left" vertical="center" indent="1"/>
    </xf>
    <xf numFmtId="0" fontId="27" fillId="37" borderId="36" applyNumberFormat="0" applyProtection="0">
      <alignment horizontal="left" vertical="top" indent="1"/>
    </xf>
    <xf numFmtId="0" fontId="27" fillId="39" borderId="36" applyNumberFormat="0" applyProtection="0">
      <alignment horizontal="left" vertical="center" indent="1"/>
    </xf>
    <xf numFmtId="4" fontId="45" fillId="36" borderId="36" applyNumberFormat="0" applyProtection="0">
      <alignment horizontal="left" vertical="center" indent="1"/>
    </xf>
    <xf numFmtId="4" fontId="50" fillId="34" borderId="36" applyNumberFormat="0" applyProtection="0">
      <alignment horizontal="right" vertical="center"/>
    </xf>
    <xf numFmtId="0" fontId="41" fillId="24" borderId="33" applyNumberFormat="0" applyAlignment="0" applyProtection="0"/>
    <xf numFmtId="0" fontId="34" fillId="11" borderId="31" applyNumberFormat="0" applyAlignment="0" applyProtection="0"/>
    <xf numFmtId="0" fontId="53" fillId="0" borderId="34" applyNumberFormat="0" applyFill="0" applyAlignment="0" applyProtection="0"/>
    <xf numFmtId="0" fontId="43" fillId="31" borderId="36" applyNumberFormat="0" applyProtection="0">
      <alignment horizontal="left" vertical="top" indent="1"/>
    </xf>
    <xf numFmtId="4" fontId="43" fillId="28" borderId="36" applyNumberFormat="0" applyProtection="0">
      <alignment vertical="center"/>
    </xf>
    <xf numFmtId="4" fontId="44" fillId="31" borderId="36" applyNumberFormat="0" applyProtection="0">
      <alignment vertical="center"/>
    </xf>
    <xf numFmtId="4" fontId="43" fillId="31" borderId="36" applyNumberFormat="0" applyProtection="0">
      <alignment horizontal="left" vertical="center" indent="1"/>
    </xf>
    <xf numFmtId="0" fontId="43" fillId="31" borderId="36" applyNumberFormat="0" applyProtection="0">
      <alignment horizontal="left" vertical="top" indent="1"/>
    </xf>
    <xf numFmtId="4" fontId="45" fillId="7" borderId="36" applyNumberFormat="0" applyProtection="0">
      <alignment horizontal="right" vertical="center"/>
    </xf>
    <xf numFmtId="4" fontId="45" fillId="13" borderId="36" applyNumberFormat="0" applyProtection="0">
      <alignment horizontal="right" vertical="center"/>
    </xf>
    <xf numFmtId="4" fontId="45" fillId="21" borderId="36" applyNumberFormat="0" applyProtection="0">
      <alignment horizontal="right" vertical="center"/>
    </xf>
    <xf numFmtId="4" fontId="45" fillId="15" borderId="36" applyNumberFormat="0" applyProtection="0">
      <alignment horizontal="right" vertical="center"/>
    </xf>
    <xf numFmtId="4" fontId="45" fillId="19" borderId="36" applyNumberFormat="0" applyProtection="0">
      <alignment horizontal="right" vertical="center"/>
    </xf>
    <xf numFmtId="4" fontId="45" fillId="23" borderId="36" applyNumberFormat="0" applyProtection="0">
      <alignment horizontal="right" vertical="center"/>
    </xf>
    <xf numFmtId="4" fontId="45" fillId="22" borderId="36" applyNumberFormat="0" applyProtection="0">
      <alignment horizontal="right" vertical="center"/>
    </xf>
    <xf numFmtId="4" fontId="45" fillId="32" borderId="36" applyNumberFormat="0" applyProtection="0">
      <alignment horizontal="right" vertical="center"/>
    </xf>
    <xf numFmtId="4" fontId="45" fillId="14" borderId="36" applyNumberFormat="0" applyProtection="0">
      <alignment horizontal="right" vertical="center"/>
    </xf>
    <xf numFmtId="4" fontId="45" fillId="22" borderId="36" applyNumberFormat="0" applyProtection="0">
      <alignment horizontal="right" vertical="center"/>
    </xf>
    <xf numFmtId="4" fontId="45" fillId="36" borderId="36" applyNumberFormat="0" applyProtection="0">
      <alignment horizontal="right" vertical="center"/>
    </xf>
    <xf numFmtId="4" fontId="45" fillId="36" borderId="36" applyNumberFormat="0" applyProtection="0">
      <alignment horizontal="right" vertical="center"/>
    </xf>
    <xf numFmtId="0" fontId="27" fillId="35" borderId="36" applyNumberFormat="0" applyProtection="0">
      <alignment horizontal="left" vertical="center" indent="1"/>
    </xf>
    <xf numFmtId="0" fontId="27" fillId="37" borderId="36" applyNumberFormat="0" applyProtection="0">
      <alignment horizontal="left" vertical="top" indent="1"/>
    </xf>
    <xf numFmtId="0" fontId="27" fillId="35" borderId="36" applyNumberFormat="0" applyProtection="0">
      <alignment horizontal="left" vertical="center" indent="1"/>
    </xf>
    <xf numFmtId="0" fontId="27" fillId="35" borderId="36" applyNumberFormat="0" applyProtection="0">
      <alignment horizontal="left" vertical="top" indent="1"/>
    </xf>
    <xf numFmtId="0" fontId="27" fillId="37" borderId="36" applyNumberFormat="0" applyProtection="0">
      <alignment horizontal="left" vertical="center" indent="1"/>
    </xf>
    <xf numFmtId="0" fontId="27" fillId="37" borderId="36" applyNumberFormat="0" applyProtection="0">
      <alignment horizontal="left" vertical="top" indent="1"/>
    </xf>
    <xf numFmtId="0" fontId="27" fillId="38" borderId="36" applyNumberFormat="0" applyProtection="0">
      <alignment horizontal="left" vertical="center" indent="1"/>
    </xf>
    <xf numFmtId="0" fontId="27" fillId="38" borderId="36" applyNumberFormat="0" applyProtection="0">
      <alignment horizontal="left" vertical="top" indent="1"/>
    </xf>
    <xf numFmtId="0" fontId="27" fillId="39" borderId="36" applyNumberFormat="0" applyProtection="0">
      <alignment horizontal="left" vertical="center" indent="1"/>
    </xf>
    <xf numFmtId="0" fontId="27" fillId="39" borderId="36" applyNumberFormat="0" applyProtection="0">
      <alignment horizontal="left" vertical="top" indent="1"/>
    </xf>
    <xf numFmtId="0" fontId="27" fillId="39" borderId="36" applyNumberFormat="0" applyProtection="0">
      <alignment horizontal="left" vertical="center" indent="1"/>
    </xf>
    <xf numFmtId="4" fontId="45" fillId="40" borderId="36" applyNumberFormat="0" applyProtection="0">
      <alignment vertical="center"/>
    </xf>
    <xf numFmtId="4" fontId="48" fillId="40" borderId="36" applyNumberFormat="0" applyProtection="0">
      <alignment vertical="center"/>
    </xf>
    <xf numFmtId="4" fontId="45" fillId="40" borderId="36" applyNumberFormat="0" applyProtection="0">
      <alignment horizontal="left" vertical="center" indent="1"/>
    </xf>
    <xf numFmtId="0" fontId="45" fillId="40" borderId="36" applyNumberFormat="0" applyProtection="0">
      <alignment horizontal="left" vertical="top" indent="1"/>
    </xf>
    <xf numFmtId="4" fontId="45" fillId="34" borderId="36" applyNumberFormat="0" applyProtection="0">
      <alignment horizontal="right" vertical="center"/>
    </xf>
    <xf numFmtId="4" fontId="48" fillId="34" borderId="36" applyNumberFormat="0" applyProtection="0">
      <alignment horizontal="right" vertical="center"/>
    </xf>
    <xf numFmtId="4" fontId="45" fillId="36" borderId="36" applyNumberFormat="0" applyProtection="0">
      <alignment horizontal="left" vertical="center" indent="1"/>
    </xf>
    <xf numFmtId="0" fontId="45" fillId="37" borderId="36" applyNumberFormat="0" applyProtection="0">
      <alignment horizontal="left" vertical="top" indent="1"/>
    </xf>
    <xf numFmtId="4" fontId="45" fillId="40" borderId="36" applyNumberFormat="0" applyProtection="0">
      <alignment vertical="center"/>
    </xf>
    <xf numFmtId="4" fontId="50" fillId="34" borderId="36" applyNumberFormat="0" applyProtection="0">
      <alignment horizontal="right" vertical="center"/>
    </xf>
    <xf numFmtId="0" fontId="45" fillId="40" borderId="36" applyNumberFormat="0" applyProtection="0">
      <alignment horizontal="left" vertical="top" indent="1"/>
    </xf>
    <xf numFmtId="4" fontId="45" fillId="36" borderId="36" applyNumberFormat="0" applyProtection="0">
      <alignment horizontal="left" vertical="center" indent="1"/>
    </xf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4" fontId="45" fillId="23" borderId="36" applyNumberFormat="0" applyProtection="0">
      <alignment horizontal="right" vertical="center"/>
    </xf>
    <xf numFmtId="174" fontId="26" fillId="0" borderId="35">
      <alignment horizontal="right" indent="1"/>
    </xf>
    <xf numFmtId="0" fontId="23" fillId="24" borderId="31" applyNumberFormat="0" applyAlignment="0" applyProtection="0"/>
    <xf numFmtId="0" fontId="43" fillId="31" borderId="36" applyNumberFormat="0" applyProtection="0">
      <alignment horizontal="left" vertical="top" indent="1"/>
    </xf>
    <xf numFmtId="4" fontId="45" fillId="21" borderId="36" applyNumberFormat="0" applyProtection="0">
      <alignment horizontal="right" vertical="center"/>
    </xf>
    <xf numFmtId="4" fontId="45" fillId="22" borderId="36" applyNumberFormat="0" applyProtection="0">
      <alignment horizontal="right" vertical="center"/>
    </xf>
    <xf numFmtId="4" fontId="45" fillId="32" borderId="36" applyNumberFormat="0" applyProtection="0">
      <alignment horizontal="right" vertical="center"/>
    </xf>
    <xf numFmtId="4" fontId="45" fillId="14" borderId="36" applyNumberFormat="0" applyProtection="0">
      <alignment horizontal="right" vertical="center"/>
    </xf>
    <xf numFmtId="4" fontId="45" fillId="36" borderId="36" applyNumberFormat="0" applyProtection="0">
      <alignment horizontal="right" vertical="center"/>
    </xf>
    <xf numFmtId="0" fontId="27" fillId="35" borderId="36" applyNumberFormat="0" applyProtection="0">
      <alignment horizontal="left" vertical="center" indent="1"/>
    </xf>
    <xf numFmtId="0" fontId="27" fillId="35" borderId="36" applyNumberFormat="0" applyProtection="0">
      <alignment horizontal="left" vertical="top" indent="1"/>
    </xf>
    <xf numFmtId="0" fontId="27" fillId="37" borderId="36" applyNumberFormat="0" applyProtection="0">
      <alignment horizontal="left" vertical="center" indent="1"/>
    </xf>
    <xf numFmtId="0" fontId="27" fillId="37" borderId="36" applyNumberFormat="0" applyProtection="0">
      <alignment horizontal="left" vertical="top" indent="1"/>
    </xf>
    <xf numFmtId="0" fontId="27" fillId="38" borderId="36" applyNumberFormat="0" applyProtection="0">
      <alignment horizontal="left" vertical="center" indent="1"/>
    </xf>
    <xf numFmtId="0" fontId="27" fillId="38" borderId="36" applyNumberFormat="0" applyProtection="0">
      <alignment horizontal="left" vertical="top" indent="1"/>
    </xf>
    <xf numFmtId="0" fontId="27" fillId="39" borderId="36" applyNumberFormat="0" applyProtection="0">
      <alignment horizontal="left" vertical="center" indent="1"/>
    </xf>
    <xf numFmtId="0" fontId="27" fillId="39" borderId="36" applyNumberFormat="0" applyProtection="0">
      <alignment horizontal="left" vertical="top" indent="1"/>
    </xf>
    <xf numFmtId="4" fontId="45" fillId="40" borderId="36" applyNumberFormat="0" applyProtection="0">
      <alignment vertical="center"/>
    </xf>
    <xf numFmtId="4" fontId="48" fillId="40" borderId="36" applyNumberFormat="0" applyProtection="0">
      <alignment vertical="center"/>
    </xf>
    <xf numFmtId="4" fontId="45" fillId="40" borderId="36" applyNumberFormat="0" applyProtection="0">
      <alignment horizontal="left" vertical="center" indent="1"/>
    </xf>
    <xf numFmtId="0" fontId="45" fillId="40" borderId="36" applyNumberFormat="0" applyProtection="0">
      <alignment horizontal="left" vertical="top" indent="1"/>
    </xf>
    <xf numFmtId="4" fontId="45" fillId="34" borderId="36" applyNumberFormat="0" applyProtection="0">
      <alignment horizontal="right" vertical="center"/>
    </xf>
    <xf numFmtId="4" fontId="48" fillId="34" borderId="36" applyNumberFormat="0" applyProtection="0">
      <alignment horizontal="right" vertical="center"/>
    </xf>
    <xf numFmtId="4" fontId="45" fillId="36" borderId="36" applyNumberFormat="0" applyProtection="0">
      <alignment horizontal="left" vertical="center" indent="1"/>
    </xf>
    <xf numFmtId="0" fontId="45" fillId="37" borderId="36" applyNumberFormat="0" applyProtection="0">
      <alignment horizontal="left" vertical="top" indent="1"/>
    </xf>
    <xf numFmtId="4" fontId="50" fillId="34" borderId="36" applyNumberFormat="0" applyProtection="0">
      <alignment horizontal="right" vertical="center"/>
    </xf>
    <xf numFmtId="4" fontId="72" fillId="85" borderId="38" applyNumberFormat="0" applyProtection="0">
      <alignment horizontal="left" vertical="center" indent="1"/>
    </xf>
    <xf numFmtId="4" fontId="69" fillId="31" borderId="38" applyNumberFormat="0" applyProtection="0">
      <alignment vertical="center"/>
    </xf>
    <xf numFmtId="4" fontId="70" fillId="31" borderId="38" applyNumberFormat="0" applyProtection="0">
      <alignment vertical="center"/>
    </xf>
    <xf numFmtId="4" fontId="71" fillId="40" borderId="38" applyNumberFormat="0" applyProtection="0">
      <alignment horizontal="left" vertical="center" indent="1"/>
    </xf>
    <xf numFmtId="4" fontId="72" fillId="7" borderId="38" applyNumberFormat="0" applyProtection="0">
      <alignment horizontal="right" vertical="center"/>
    </xf>
    <xf numFmtId="4" fontId="72" fillId="78" borderId="38" applyNumberFormat="0" applyProtection="0">
      <alignment horizontal="right" vertical="center"/>
    </xf>
    <xf numFmtId="4" fontId="72" fillId="15" borderId="38" applyNumberFormat="0" applyProtection="0">
      <alignment horizontal="right" vertical="center"/>
    </xf>
    <xf numFmtId="4" fontId="72" fillId="19" borderId="38" applyNumberFormat="0" applyProtection="0">
      <alignment horizontal="right" vertical="center"/>
    </xf>
    <xf numFmtId="4" fontId="72" fillId="23" borderId="38" applyNumberFormat="0" applyProtection="0">
      <alignment horizontal="right" vertical="center"/>
    </xf>
    <xf numFmtId="4" fontId="72" fillId="22" borderId="38" applyNumberFormat="0" applyProtection="0">
      <alignment horizontal="right" vertical="center"/>
    </xf>
    <xf numFmtId="4" fontId="72" fillId="32" borderId="38" applyNumberFormat="0" applyProtection="0">
      <alignment horizontal="right" vertical="center"/>
    </xf>
    <xf numFmtId="4" fontId="72" fillId="14" borderId="38" applyNumberFormat="0" applyProtection="0">
      <alignment horizontal="right" vertical="center"/>
    </xf>
    <xf numFmtId="4" fontId="72" fillId="33" borderId="37" applyNumberFormat="0" applyProtection="0">
      <alignment horizontal="left" vertical="center" indent="1"/>
    </xf>
    <xf numFmtId="4" fontId="72" fillId="79" borderId="38" applyNumberFormat="0" applyProtection="0">
      <alignment horizontal="left" vertical="center" indent="1"/>
    </xf>
    <xf numFmtId="4" fontId="72" fillId="79" borderId="38" applyNumberFormat="0" applyProtection="0">
      <alignment horizontal="left" vertical="center" indent="1"/>
    </xf>
    <xf numFmtId="4" fontId="73" fillId="80" borderId="37" applyNumberFormat="0" applyProtection="0">
      <alignment horizontal="left" vertical="center" indent="1"/>
    </xf>
    <xf numFmtId="4" fontId="72" fillId="36" borderId="38" applyNumberFormat="0" applyProtection="0">
      <alignment horizontal="right" vertical="center"/>
    </xf>
    <xf numFmtId="0" fontId="72" fillId="24" borderId="38" applyNumberFormat="0" applyProtection="0">
      <alignment horizontal="left" vertical="center" indent="1"/>
    </xf>
    <xf numFmtId="0" fontId="67" fillId="80" borderId="36" applyNumberFormat="0" applyProtection="0">
      <alignment horizontal="left" vertical="top" indent="1"/>
    </xf>
    <xf numFmtId="0" fontId="67" fillId="80" borderId="36" applyNumberFormat="0" applyProtection="0">
      <alignment horizontal="left" vertical="top" indent="1"/>
    </xf>
    <xf numFmtId="0" fontId="72" fillId="81" borderId="38" applyNumberFormat="0" applyProtection="0">
      <alignment horizontal="left" vertical="center" indent="1"/>
    </xf>
    <xf numFmtId="0" fontId="67" fillId="36" borderId="36" applyNumberFormat="0" applyProtection="0">
      <alignment horizontal="left" vertical="top" indent="1"/>
    </xf>
    <xf numFmtId="0" fontId="67" fillId="36" borderId="36" applyNumberFormat="0" applyProtection="0">
      <alignment horizontal="left" vertical="top" indent="1"/>
    </xf>
    <xf numFmtId="0" fontId="72" fillId="12" borderId="38" applyNumberFormat="0" applyProtection="0">
      <alignment horizontal="left" vertical="center" indent="1"/>
    </xf>
    <xf numFmtId="0" fontId="67" fillId="12" borderId="36" applyNumberFormat="0" applyProtection="0">
      <alignment horizontal="left" vertical="top" indent="1"/>
    </xf>
    <xf numFmtId="0" fontId="67" fillId="12" borderId="36" applyNumberFormat="0" applyProtection="0">
      <alignment horizontal="left" vertical="top" indent="1"/>
    </xf>
    <xf numFmtId="0" fontId="72" fillId="34" borderId="38" applyNumberFormat="0" applyProtection="0">
      <alignment horizontal="left" vertical="center" indent="1"/>
    </xf>
    <xf numFmtId="0" fontId="67" fillId="34" borderId="36" applyNumberFormat="0" applyProtection="0">
      <alignment horizontal="left" vertical="top" indent="1"/>
    </xf>
    <xf numFmtId="0" fontId="67" fillId="34" borderId="36" applyNumberFormat="0" applyProtection="0">
      <alignment horizontal="left" vertical="top" indent="1"/>
    </xf>
    <xf numFmtId="4" fontId="71" fillId="82" borderId="38" applyNumberFormat="0" applyProtection="0">
      <alignment horizontal="left" vertical="center" indent="1"/>
    </xf>
    <xf numFmtId="4" fontId="71" fillId="82" borderId="38" applyNumberFormat="0" applyProtection="0">
      <alignment horizontal="left" vertical="center" indent="1"/>
    </xf>
    <xf numFmtId="0" fontId="67" fillId="83" borderId="39" applyNumberFormat="0">
      <protection locked="0"/>
    </xf>
    <xf numFmtId="0" fontId="67" fillId="83" borderId="39" applyNumberFormat="0">
      <protection locked="0"/>
    </xf>
    <xf numFmtId="0" fontId="67" fillId="83" borderId="39" applyNumberFormat="0">
      <protection locked="0"/>
    </xf>
    <xf numFmtId="0" fontId="67" fillId="83" borderId="39" applyNumberFormat="0">
      <protection locked="0"/>
    </xf>
    <xf numFmtId="0" fontId="67" fillId="83" borderId="39" applyNumberFormat="0">
      <protection locked="0"/>
    </xf>
    <xf numFmtId="0" fontId="71" fillId="84" borderId="40"/>
    <xf numFmtId="4" fontId="72" fillId="0" borderId="38" applyNumberFormat="0" applyProtection="0">
      <alignment horizontal="right" vertical="center"/>
    </xf>
    <xf numFmtId="4" fontId="70" fillId="79" borderId="38" applyNumberFormat="0" applyProtection="0">
      <alignment horizontal="right" vertical="center"/>
    </xf>
    <xf numFmtId="0" fontId="74" fillId="0" borderId="1"/>
    <xf numFmtId="0" fontId="78" fillId="87" borderId="30" applyNumberFormat="0" applyAlignment="0" applyProtection="0"/>
    <xf numFmtId="0" fontId="77" fillId="86" borderId="0" applyNumberFormat="0" applyBorder="0" applyAlignment="0" applyProtection="0"/>
    <xf numFmtId="0" fontId="66" fillId="0" borderId="0"/>
    <xf numFmtId="0" fontId="91" fillId="98" borderId="0" applyNumberFormat="0" applyBorder="0" applyAlignment="0" applyProtection="0"/>
  </cellStyleXfs>
  <cellXfs count="487">
    <xf numFmtId="0" fontId="0" fillId="0" borderId="0" xfId="0"/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8" fontId="10" fillId="0" borderId="0" xfId="3" applyNumberFormat="1" applyFont="1" applyBorder="1" applyAlignment="1">
      <alignment vertical="center"/>
    </xf>
    <xf numFmtId="2" fontId="10" fillId="0" borderId="0" xfId="3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10" fontId="10" fillId="0" borderId="0" xfId="1" applyNumberFormat="1" applyFont="1" applyBorder="1"/>
    <xf numFmtId="0" fontId="15" fillId="3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right" vertical="center" inden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right" vertical="center" wrapText="1" indent="1"/>
    </xf>
    <xf numFmtId="2" fontId="13" fillId="0" borderId="7" xfId="0" applyNumberFormat="1" applyFont="1" applyBorder="1" applyAlignment="1">
      <alignment horizontal="right" vertical="center" indent="1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4" fontId="10" fillId="0" borderId="0" xfId="0" applyNumberFormat="1" applyFont="1" applyAlignment="1">
      <alignment vertical="center"/>
    </xf>
    <xf numFmtId="168" fontId="10" fillId="0" borderId="0" xfId="0" applyNumberFormat="1" applyFont="1"/>
    <xf numFmtId="170" fontId="1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9" fontId="10" fillId="0" borderId="0" xfId="0" applyNumberFormat="1" applyFont="1" applyAlignment="1">
      <alignment vertical="center"/>
    </xf>
    <xf numFmtId="171" fontId="10" fillId="0" borderId="0" xfId="0" applyNumberFormat="1" applyFont="1" applyAlignment="1">
      <alignment vertical="center"/>
    </xf>
    <xf numFmtId="2" fontId="13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2" fontId="10" fillId="0" borderId="0" xfId="0" applyNumberFormat="1" applyFont="1" applyAlignment="1">
      <alignment vertical="center"/>
    </xf>
    <xf numFmtId="2" fontId="9" fillId="0" borderId="6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2" fontId="10" fillId="0" borderId="0" xfId="0" applyNumberFormat="1" applyFont="1"/>
    <xf numFmtId="167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8" fontId="10" fillId="0" borderId="0" xfId="3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168" fontId="5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10" fillId="0" borderId="0" xfId="0" applyNumberFormat="1" applyFont="1" applyAlignment="1">
      <alignment vertical="center"/>
    </xf>
    <xf numFmtId="1" fontId="10" fillId="0" borderId="0" xfId="3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0" fontId="8" fillId="0" borderId="0" xfId="4" applyAlignment="1">
      <alignment vertical="center"/>
    </xf>
    <xf numFmtId="0" fontId="57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10" fontId="10" fillId="0" borderId="0" xfId="1" applyNumberFormat="1" applyFont="1"/>
    <xf numFmtId="44" fontId="10" fillId="0" borderId="0" xfId="3" applyFont="1" applyAlignment="1">
      <alignment vertical="center"/>
    </xf>
    <xf numFmtId="172" fontId="10" fillId="0" borderId="0" xfId="3" applyNumberFormat="1" applyFont="1" applyBorder="1" applyAlignment="1">
      <alignment horizontal="right" vertical="center"/>
    </xf>
    <xf numFmtId="44" fontId="10" fillId="0" borderId="0" xfId="0" applyNumberFormat="1" applyFont="1"/>
    <xf numFmtId="0" fontId="6" fillId="0" borderId="0" xfId="121"/>
    <xf numFmtId="0" fontId="80" fillId="0" borderId="0" xfId="0" applyFont="1" applyAlignment="1">
      <alignment vertical="center"/>
    </xf>
    <xf numFmtId="10" fontId="10" fillId="0" borderId="0" xfId="1" applyNumberFormat="1" applyFont="1" applyAlignment="1">
      <alignment vertical="center"/>
    </xf>
    <xf numFmtId="10" fontId="57" fillId="0" borderId="0" xfId="1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165" fontId="10" fillId="0" borderId="0" xfId="3" applyNumberFormat="1" applyFont="1" applyBorder="1" applyAlignment="1">
      <alignment horizontal="right" vertical="center"/>
    </xf>
    <xf numFmtId="10" fontId="11" fillId="0" borderId="0" xfId="1" applyNumberFormat="1" applyFont="1" applyBorder="1" applyAlignment="1">
      <alignment vertical="center"/>
    </xf>
    <xf numFmtId="0" fontId="39" fillId="0" borderId="43" xfId="0" applyFont="1" applyBorder="1" applyAlignment="1">
      <alignment horizontal="left" indent="1"/>
    </xf>
    <xf numFmtId="0" fontId="39" fillId="0" borderId="45" xfId="0" applyFont="1" applyBorder="1" applyAlignment="1">
      <alignment horizontal="left" indent="1"/>
    </xf>
    <xf numFmtId="179" fontId="10" fillId="0" borderId="0" xfId="0" applyNumberFormat="1" applyFont="1" applyAlignment="1">
      <alignment horizontal="right" vertical="center"/>
    </xf>
    <xf numFmtId="165" fontId="10" fillId="0" borderId="0" xfId="3" applyNumberFormat="1" applyFont="1" applyBorder="1" applyAlignment="1">
      <alignment horizontal="center" vertical="center"/>
    </xf>
    <xf numFmtId="0" fontId="82" fillId="0" borderId="0" xfId="0" applyFont="1" applyAlignment="1">
      <alignment vertical="center"/>
    </xf>
    <xf numFmtId="6" fontId="10" fillId="0" borderId="0" xfId="3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0" fillId="0" borderId="0" xfId="0" applyFont="1" applyAlignment="1">
      <alignment horizontal="right"/>
    </xf>
    <xf numFmtId="0" fontId="57" fillId="0" borderId="0" xfId="0" applyFont="1"/>
    <xf numFmtId="0" fontId="57" fillId="0" borderId="0" xfId="0" applyFont="1" applyAlignment="1">
      <alignment horizontal="right"/>
    </xf>
    <xf numFmtId="10" fontId="57" fillId="0" borderId="0" xfId="1" applyNumberFormat="1" applyFont="1"/>
    <xf numFmtId="0" fontId="13" fillId="0" borderId="0" xfId="0" applyFont="1" applyAlignment="1">
      <alignment vertical="center"/>
    </xf>
    <xf numFmtId="167" fontId="57" fillId="0" borderId="0" xfId="0" applyNumberFormat="1" applyFont="1" applyAlignment="1">
      <alignment vertical="center"/>
    </xf>
    <xf numFmtId="2" fontId="11" fillId="4" borderId="9" xfId="0" applyNumberFormat="1" applyFont="1" applyFill="1" applyBorder="1" applyAlignment="1">
      <alignment horizontal="right" vertical="center" wrapText="1"/>
    </xf>
    <xf numFmtId="178" fontId="11" fillId="4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79" fontId="10" fillId="0" borderId="0" xfId="0" applyNumberFormat="1" applyFont="1" applyAlignment="1">
      <alignment vertical="center"/>
    </xf>
    <xf numFmtId="168" fontId="10" fillId="0" borderId="0" xfId="3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2" fontId="10" fillId="0" borderId="9" xfId="0" applyNumberFormat="1" applyFont="1" applyBorder="1" applyAlignment="1">
      <alignment horizontal="right" vertical="center"/>
    </xf>
    <xf numFmtId="0" fontId="83" fillId="0" borderId="0" xfId="0" applyFont="1" applyAlignment="1">
      <alignment horizontal="left" vertical="center"/>
    </xf>
    <xf numFmtId="10" fontId="80" fillId="0" borderId="0" xfId="1" applyNumberFormat="1" applyFont="1"/>
    <xf numFmtId="0" fontId="80" fillId="0" borderId="0" xfId="0" applyFont="1"/>
    <xf numFmtId="44" fontId="10" fillId="0" borderId="0" xfId="3" applyFont="1" applyBorder="1" applyAlignment="1">
      <alignment horizontal="right" vertical="center"/>
    </xf>
    <xf numFmtId="0" fontId="80" fillId="0" borderId="0" xfId="0" applyFont="1" applyAlignment="1">
      <alignment horizontal="center" vertical="center"/>
    </xf>
    <xf numFmtId="0" fontId="18" fillId="0" borderId="0" xfId="0" quotePrefix="1" applyFont="1" applyAlignment="1">
      <alignment vertical="center"/>
    </xf>
    <xf numFmtId="0" fontId="85" fillId="0" borderId="0" xfId="0" applyFont="1" applyAlignment="1">
      <alignment vertical="center"/>
    </xf>
    <xf numFmtId="170" fontId="85" fillId="0" borderId="0" xfId="0" applyNumberFormat="1" applyFont="1" applyAlignment="1">
      <alignment vertical="center"/>
    </xf>
    <xf numFmtId="10" fontId="85" fillId="0" borderId="0" xfId="1" applyNumberFormat="1" applyFont="1" applyAlignment="1">
      <alignment vertical="center"/>
    </xf>
    <xf numFmtId="167" fontId="85" fillId="0" borderId="0" xfId="1" applyNumberFormat="1" applyFont="1" applyAlignment="1">
      <alignment vertical="center"/>
    </xf>
    <xf numFmtId="167" fontId="85" fillId="0" borderId="0" xfId="0" applyNumberFormat="1" applyFont="1" applyAlignment="1">
      <alignment vertical="center"/>
    </xf>
    <xf numFmtId="2" fontId="80" fillId="0" borderId="0" xfId="0" applyNumberFormat="1" applyFont="1" applyAlignment="1">
      <alignment vertical="center"/>
    </xf>
    <xf numFmtId="0" fontId="10" fillId="90" borderId="0" xfId="0" applyFont="1" applyFill="1"/>
    <xf numFmtId="0" fontId="6" fillId="90" borderId="0" xfId="121" applyFill="1"/>
    <xf numFmtId="0" fontId="10" fillId="89" borderId="0" xfId="0" applyFont="1" applyFill="1"/>
    <xf numFmtId="0" fontId="6" fillId="89" borderId="0" xfId="121" applyFill="1"/>
    <xf numFmtId="0" fontId="10" fillId="91" borderId="0" xfId="0" applyFont="1" applyFill="1"/>
    <xf numFmtId="0" fontId="6" fillId="91" borderId="0" xfId="121" applyFill="1"/>
    <xf numFmtId="0" fontId="10" fillId="92" borderId="0" xfId="0" applyFont="1" applyFill="1"/>
    <xf numFmtId="0" fontId="6" fillId="92" borderId="0" xfId="121" applyFill="1"/>
    <xf numFmtId="0" fontId="79" fillId="0" borderId="0" xfId="0" applyFont="1"/>
    <xf numFmtId="10" fontId="0" fillId="0" borderId="44" xfId="1" applyNumberFormat="1" applyFont="1" applyFill="1" applyBorder="1"/>
    <xf numFmtId="0" fontId="0" fillId="0" borderId="9" xfId="0" applyBorder="1"/>
    <xf numFmtId="168" fontId="57" fillId="0" borderId="0" xfId="3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44" fontId="57" fillId="0" borderId="0" xfId="3" applyFont="1" applyAlignment="1">
      <alignment vertical="center"/>
    </xf>
    <xf numFmtId="167" fontId="10" fillId="0" borderId="42" xfId="0" applyNumberFormat="1" applyFont="1" applyBorder="1" applyAlignment="1">
      <alignment vertical="center"/>
    </xf>
    <xf numFmtId="10" fontId="10" fillId="0" borderId="42" xfId="1" applyNumberFormat="1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8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168" fontId="11" fillId="2" borderId="42" xfId="3" applyNumberFormat="1" applyFont="1" applyFill="1" applyBorder="1" applyAlignment="1">
      <alignment vertical="center"/>
    </xf>
    <xf numFmtId="10" fontId="10" fillId="2" borderId="42" xfId="0" applyNumberFormat="1" applyFont="1" applyFill="1" applyBorder="1" applyAlignment="1">
      <alignment vertical="center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horizontal="right" vertical="center" wrapText="1"/>
    </xf>
    <xf numFmtId="0" fontId="10" fillId="0" borderId="35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167" fontId="10" fillId="0" borderId="35" xfId="0" applyNumberFormat="1" applyFont="1" applyBorder="1" applyAlignment="1">
      <alignment vertical="center"/>
    </xf>
    <xf numFmtId="10" fontId="10" fillId="0" borderId="35" xfId="1" applyNumberFormat="1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57" fillId="0" borderId="35" xfId="0" applyFont="1" applyBorder="1" applyAlignment="1">
      <alignment vertical="center"/>
    </xf>
    <xf numFmtId="0" fontId="10" fillId="0" borderId="35" xfId="0" applyFont="1" applyBorder="1"/>
    <xf numFmtId="0" fontId="10" fillId="0" borderId="35" xfId="0" applyFont="1" applyBorder="1" applyAlignment="1">
      <alignment horizontal="right"/>
    </xf>
    <xf numFmtId="10" fontId="10" fillId="0" borderId="35" xfId="1" applyNumberFormat="1" applyFont="1" applyBorder="1" applyAlignment="1"/>
    <xf numFmtId="0" fontId="57" fillId="0" borderId="35" xfId="0" applyFont="1" applyBorder="1"/>
    <xf numFmtId="168" fontId="10" fillId="0" borderId="35" xfId="3" applyNumberFormat="1" applyFont="1" applyBorder="1" applyAlignment="1"/>
    <xf numFmtId="0" fontId="13" fillId="0" borderId="35" xfId="0" applyFont="1" applyBorder="1"/>
    <xf numFmtId="10" fontId="57" fillId="0" borderId="35" xfId="1" applyNumberFormat="1" applyFont="1" applyBorder="1" applyAlignment="1"/>
    <xf numFmtId="10" fontId="13" fillId="0" borderId="35" xfId="1" applyNumberFormat="1" applyFont="1" applyBorder="1" applyAlignment="1"/>
    <xf numFmtId="168" fontId="13" fillId="0" borderId="35" xfId="3" applyNumberFormat="1" applyFont="1" applyBorder="1" applyAlignment="1"/>
    <xf numFmtId="168" fontId="10" fillId="0" borderId="35" xfId="3" applyNumberFormat="1" applyFont="1" applyFill="1" applyBorder="1" applyAlignment="1"/>
    <xf numFmtId="10" fontId="10" fillId="0" borderId="35" xfId="1" applyNumberFormat="1" applyFont="1" applyFill="1" applyBorder="1" applyAlignment="1"/>
    <xf numFmtId="168" fontId="57" fillId="0" borderId="35" xfId="3" applyNumberFormat="1" applyFont="1" applyFill="1" applyBorder="1" applyAlignment="1"/>
    <xf numFmtId="0" fontId="11" fillId="0" borderId="35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167" fontId="11" fillId="2" borderId="35" xfId="0" applyNumberFormat="1" applyFont="1" applyFill="1" applyBorder="1" applyAlignment="1">
      <alignment vertical="center"/>
    </xf>
    <xf numFmtId="167" fontId="11" fillId="0" borderId="35" xfId="0" applyNumberFormat="1" applyFont="1" applyBorder="1" applyAlignment="1">
      <alignment vertical="center"/>
    </xf>
    <xf numFmtId="10" fontId="11" fillId="0" borderId="35" xfId="1" applyNumberFormat="1" applyFont="1" applyBorder="1" applyAlignment="1">
      <alignment vertical="center"/>
    </xf>
    <xf numFmtId="167" fontId="15" fillId="0" borderId="35" xfId="0" applyNumberFormat="1" applyFont="1" applyBorder="1" applyAlignment="1">
      <alignment vertical="center"/>
    </xf>
    <xf numFmtId="168" fontId="15" fillId="0" borderId="35" xfId="3" applyNumberFormat="1" applyFont="1" applyFill="1" applyBorder="1" applyAlignment="1">
      <alignment vertical="center"/>
    </xf>
    <xf numFmtId="168" fontId="15" fillId="44" borderId="35" xfId="0" applyNumberFormat="1" applyFont="1" applyFill="1" applyBorder="1" applyAlignment="1">
      <alignment vertical="center"/>
    </xf>
    <xf numFmtId="10" fontId="11" fillId="0" borderId="35" xfId="0" applyNumberFormat="1" applyFont="1" applyBorder="1" applyAlignment="1">
      <alignment horizontal="center" vertical="center"/>
    </xf>
    <xf numFmtId="10" fontId="10" fillId="0" borderId="35" xfId="0" applyNumberFormat="1" applyFont="1" applyBorder="1" applyAlignment="1">
      <alignment horizontal="center" vertical="center"/>
    </xf>
    <xf numFmtId="168" fontId="10" fillId="0" borderId="35" xfId="3" applyNumberFormat="1" applyFont="1" applyBorder="1" applyAlignment="1">
      <alignment vertical="center"/>
    </xf>
    <xf numFmtId="168" fontId="11" fillId="0" borderId="35" xfId="0" applyNumberFormat="1" applyFont="1" applyBorder="1" applyAlignment="1">
      <alignment vertical="center"/>
    </xf>
    <xf numFmtId="0" fontId="10" fillId="0" borderId="35" xfId="0" applyFont="1" applyBorder="1" applyAlignment="1">
      <alignment horizontal="center" vertical="center" wrapText="1"/>
    </xf>
    <xf numFmtId="168" fontId="10" fillId="2" borderId="35" xfId="3" applyNumberFormat="1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0" fontId="10" fillId="2" borderId="35" xfId="0" applyNumberFormat="1" applyFont="1" applyFill="1" applyBorder="1" applyAlignment="1">
      <alignment vertical="center"/>
    </xf>
    <xf numFmtId="168" fontId="57" fillId="2" borderId="35" xfId="3" applyNumberFormat="1" applyFont="1" applyFill="1" applyBorder="1" applyAlignment="1">
      <alignment vertical="center"/>
    </xf>
    <xf numFmtId="10" fontId="57" fillId="0" borderId="35" xfId="1" applyNumberFormat="1" applyFont="1" applyBorder="1" applyAlignment="1">
      <alignment vertical="center"/>
    </xf>
    <xf numFmtId="10" fontId="24" fillId="0" borderId="35" xfId="174" applyNumberFormat="1" applyFont="1" applyBorder="1" applyAlignment="1">
      <alignment horizontal="center"/>
    </xf>
    <xf numFmtId="168" fontId="10" fillId="0" borderId="35" xfId="0" applyNumberFormat="1" applyFont="1" applyBorder="1" applyAlignment="1">
      <alignment vertical="center"/>
    </xf>
    <xf numFmtId="168" fontId="10" fillId="0" borderId="35" xfId="3" applyNumberFormat="1" applyFont="1" applyBorder="1" applyAlignment="1">
      <alignment horizontal="center" vertical="center" wrapText="1"/>
    </xf>
    <xf numFmtId="2" fontId="10" fillId="0" borderId="35" xfId="3" applyNumberFormat="1" applyFont="1" applyBorder="1" applyAlignment="1">
      <alignment vertical="center"/>
    </xf>
    <xf numFmtId="169" fontId="10" fillId="0" borderId="35" xfId="0" applyNumberFormat="1" applyFont="1" applyBorder="1" applyAlignment="1">
      <alignment vertical="center"/>
    </xf>
    <xf numFmtId="171" fontId="12" fillId="0" borderId="35" xfId="0" applyNumberFormat="1" applyFont="1" applyBorder="1"/>
    <xf numFmtId="171" fontId="10" fillId="0" borderId="35" xfId="0" applyNumberFormat="1" applyFont="1" applyBorder="1" applyAlignment="1">
      <alignment vertical="center"/>
    </xf>
    <xf numFmtId="0" fontId="11" fillId="0" borderId="35" xfId="0" applyFont="1" applyBorder="1" applyAlignment="1">
      <alignment horizontal="center" vertical="center" wrapText="1"/>
    </xf>
    <xf numFmtId="165" fontId="10" fillId="0" borderId="35" xfId="2" applyFont="1" applyFill="1" applyBorder="1" applyAlignment="1">
      <alignment vertical="center"/>
    </xf>
    <xf numFmtId="180" fontId="10" fillId="0" borderId="35" xfId="0" applyNumberFormat="1" applyFont="1" applyBorder="1" applyAlignment="1">
      <alignment vertical="center"/>
    </xf>
    <xf numFmtId="165" fontId="10" fillId="0" borderId="35" xfId="0" applyNumberFormat="1" applyFont="1" applyBorder="1" applyAlignment="1">
      <alignment vertical="center"/>
    </xf>
    <xf numFmtId="168" fontId="11" fillId="0" borderId="35" xfId="3" applyNumberFormat="1" applyFont="1" applyFill="1" applyBorder="1" applyAlignment="1">
      <alignment vertical="center"/>
    </xf>
    <xf numFmtId="165" fontId="11" fillId="0" borderId="35" xfId="2" applyFont="1" applyBorder="1" applyAlignment="1">
      <alignment vertical="center"/>
    </xf>
    <xf numFmtId="165" fontId="11" fillId="0" borderId="35" xfId="2" applyFont="1" applyFill="1" applyBorder="1" applyAlignment="1">
      <alignment vertical="center"/>
    </xf>
    <xf numFmtId="180" fontId="11" fillId="0" borderId="35" xfId="2" applyNumberFormat="1" applyFont="1" applyBorder="1" applyAlignment="1">
      <alignment vertical="center"/>
    </xf>
    <xf numFmtId="180" fontId="11" fillId="0" borderId="35" xfId="0" applyNumberFormat="1" applyFont="1" applyBorder="1" applyAlignment="1">
      <alignment vertical="center"/>
    </xf>
    <xf numFmtId="0" fontId="11" fillId="2" borderId="35" xfId="0" applyFont="1" applyFill="1" applyBorder="1" applyAlignment="1">
      <alignment horizontal="center" vertical="center" wrapText="1"/>
    </xf>
    <xf numFmtId="168" fontId="11" fillId="2" borderId="35" xfId="3" applyNumberFormat="1" applyFont="1" applyFill="1" applyBorder="1" applyAlignment="1">
      <alignment vertical="center"/>
    </xf>
    <xf numFmtId="10" fontId="11" fillId="0" borderId="35" xfId="0" applyNumberFormat="1" applyFont="1" applyBorder="1" applyAlignment="1">
      <alignment vertical="center"/>
    </xf>
    <xf numFmtId="10" fontId="10" fillId="0" borderId="35" xfId="1" applyNumberFormat="1" applyFont="1" applyFill="1" applyBorder="1" applyAlignment="1">
      <alignment vertical="center"/>
    </xf>
    <xf numFmtId="10" fontId="10" fillId="0" borderId="35" xfId="0" applyNumberFormat="1" applyFont="1" applyBorder="1" applyAlignment="1">
      <alignment vertical="center"/>
    </xf>
    <xf numFmtId="168" fontId="11" fillId="2" borderId="35" xfId="0" applyNumberFormat="1" applyFont="1" applyFill="1" applyBorder="1" applyAlignment="1">
      <alignment vertical="center"/>
    </xf>
    <xf numFmtId="168" fontId="10" fillId="0" borderId="35" xfId="3" applyNumberFormat="1" applyFont="1" applyFill="1" applyBorder="1" applyAlignment="1">
      <alignment vertical="center"/>
    </xf>
    <xf numFmtId="168" fontId="76" fillId="0" borderId="35" xfId="3" applyNumberFormat="1" applyFont="1" applyBorder="1" applyAlignment="1">
      <alignment horizontal="right" vertical="center"/>
    </xf>
    <xf numFmtId="168" fontId="76" fillId="0" borderId="35" xfId="3" applyNumberFormat="1" applyFont="1" applyFill="1" applyBorder="1" applyAlignment="1">
      <alignment vertical="center"/>
    </xf>
    <xf numFmtId="0" fontId="10" fillId="0" borderId="35" xfId="0" applyFont="1" applyBorder="1" applyAlignment="1">
      <alignment horizontal="center"/>
    </xf>
    <xf numFmtId="168" fontId="10" fillId="0" borderId="35" xfId="0" applyNumberFormat="1" applyFont="1" applyBorder="1"/>
    <xf numFmtId="10" fontId="13" fillId="0" borderId="35" xfId="1" applyNumberFormat="1" applyFont="1" applyFill="1" applyBorder="1"/>
    <xf numFmtId="0" fontId="11" fillId="0" borderId="35" xfId="0" applyFont="1" applyBorder="1"/>
    <xf numFmtId="10" fontId="10" fillId="0" borderId="35" xfId="1" applyNumberFormat="1" applyFont="1" applyBorder="1"/>
    <xf numFmtId="10" fontId="10" fillId="0" borderId="35" xfId="1" applyNumberFormat="1" applyFont="1" applyFill="1" applyBorder="1"/>
    <xf numFmtId="10" fontId="11" fillId="2" borderId="35" xfId="1" applyNumberFormat="1" applyFont="1" applyFill="1" applyBorder="1"/>
    <xf numFmtId="168" fontId="10" fillId="0" borderId="35" xfId="3" applyNumberFormat="1" applyFont="1" applyBorder="1"/>
    <xf numFmtId="168" fontId="11" fillId="2" borderId="35" xfId="0" applyNumberFormat="1" applyFont="1" applyFill="1" applyBorder="1"/>
    <xf numFmtId="168" fontId="11" fillId="0" borderId="35" xfId="3" applyNumberFormat="1" applyFont="1" applyBorder="1"/>
    <xf numFmtId="168" fontId="13" fillId="0" borderId="35" xfId="0" applyNumberFormat="1" applyFont="1" applyBorder="1" applyAlignment="1">
      <alignment vertical="center"/>
    </xf>
    <xf numFmtId="44" fontId="13" fillId="0" borderId="35" xfId="0" applyNumberFormat="1" applyFont="1" applyBorder="1" applyAlignment="1">
      <alignment vertical="center"/>
    </xf>
    <xf numFmtId="44" fontId="57" fillId="0" borderId="35" xfId="0" applyNumberFormat="1" applyFont="1" applyBorder="1" applyAlignment="1">
      <alignment vertical="center"/>
    </xf>
    <xf numFmtId="0" fontId="10" fillId="0" borderId="35" xfId="0" applyFont="1" applyBorder="1" applyAlignment="1">
      <alignment horizontal="right" vertical="center"/>
    </xf>
    <xf numFmtId="44" fontId="10" fillId="0" borderId="35" xfId="0" applyNumberFormat="1" applyFont="1" applyBorder="1" applyAlignment="1">
      <alignment vertical="center"/>
    </xf>
    <xf numFmtId="1" fontId="10" fillId="0" borderId="35" xfId="0" applyNumberFormat="1" applyFont="1" applyBorder="1" applyAlignment="1">
      <alignment vertical="center"/>
    </xf>
    <xf numFmtId="1" fontId="11" fillId="2" borderId="35" xfId="0" applyNumberFormat="1" applyFont="1" applyFill="1" applyBorder="1" applyAlignment="1">
      <alignment vertical="center"/>
    </xf>
    <xf numFmtId="0" fontId="86" fillId="0" borderId="35" xfId="0" applyFont="1" applyBorder="1" applyAlignment="1">
      <alignment horizontal="left"/>
    </xf>
    <xf numFmtId="44" fontId="11" fillId="2" borderId="35" xfId="0" applyNumberFormat="1" applyFont="1" applyFill="1" applyBorder="1" applyAlignment="1">
      <alignment vertical="center"/>
    </xf>
    <xf numFmtId="44" fontId="6" fillId="0" borderId="35" xfId="3" applyFont="1" applyFill="1" applyBorder="1"/>
    <xf numFmtId="44" fontId="11" fillId="0" borderId="35" xfId="3" applyFont="1" applyBorder="1" applyAlignment="1">
      <alignment vertical="center"/>
    </xf>
    <xf numFmtId="10" fontId="11" fillId="2" borderId="35" xfId="0" applyNumberFormat="1" applyFont="1" applyFill="1" applyBorder="1"/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 wrapText="1"/>
    </xf>
    <xf numFmtId="2" fontId="13" fillId="0" borderId="35" xfId="0" applyNumberFormat="1" applyFont="1" applyBorder="1" applyAlignment="1">
      <alignment horizontal="right" vertical="center" wrapText="1" indent="1"/>
    </xf>
    <xf numFmtId="2" fontId="9" fillId="0" borderId="35" xfId="0" applyNumberFormat="1" applyFont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2" fontId="10" fillId="0" borderId="35" xfId="0" applyNumberFormat="1" applyFont="1" applyBorder="1" applyAlignment="1">
      <alignment horizontal="right" vertical="center"/>
    </xf>
    <xf numFmtId="2" fontId="10" fillId="0" borderId="35" xfId="0" applyNumberFormat="1" applyFont="1" applyBorder="1"/>
    <xf numFmtId="10" fontId="11" fillId="4" borderId="35" xfId="1" applyNumberFormat="1" applyFont="1" applyFill="1" applyBorder="1" applyAlignment="1">
      <alignment horizontal="right" vertical="center" wrapText="1"/>
    </xf>
    <xf numFmtId="0" fontId="0" fillId="88" borderId="35" xfId="0" applyFill="1" applyBorder="1"/>
    <xf numFmtId="0" fontId="11" fillId="4" borderId="35" xfId="0" applyFont="1" applyFill="1" applyBorder="1" applyAlignment="1">
      <alignment horizontal="center" vertical="center"/>
    </xf>
    <xf numFmtId="10" fontId="0" fillId="0" borderId="35" xfId="1" applyNumberFormat="1" applyFont="1" applyFill="1" applyBorder="1"/>
    <xf numFmtId="168" fontId="11" fillId="4" borderId="35" xfId="3" applyNumberFormat="1" applyFont="1" applyFill="1" applyBorder="1" applyAlignment="1">
      <alignment horizontal="right" vertical="center"/>
    </xf>
    <xf numFmtId="10" fontId="11" fillId="4" borderId="35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168" fontId="10" fillId="0" borderId="35" xfId="3" applyNumberFormat="1" applyFont="1" applyFill="1" applyBorder="1" applyAlignment="1">
      <alignment horizontal="center" vertical="center"/>
    </xf>
    <xf numFmtId="168" fontId="10" fillId="0" borderId="35" xfId="3" applyNumberFormat="1" applyFont="1" applyBorder="1" applyAlignment="1">
      <alignment horizontal="center" vertical="center"/>
    </xf>
    <xf numFmtId="10" fontId="11" fillId="2" borderId="35" xfId="1" applyNumberFormat="1" applyFont="1" applyFill="1" applyBorder="1" applyAlignment="1">
      <alignment horizontal="right" vertical="center"/>
    </xf>
    <xf numFmtId="168" fontId="11" fillId="0" borderId="35" xfId="3" applyNumberFormat="1" applyFont="1" applyBorder="1" applyAlignment="1">
      <alignment horizontal="center" vertical="center"/>
    </xf>
    <xf numFmtId="10" fontId="11" fillId="2" borderId="35" xfId="0" applyNumberFormat="1" applyFont="1" applyFill="1" applyBorder="1" applyAlignment="1">
      <alignment horizontal="right" vertical="center"/>
    </xf>
    <xf numFmtId="0" fontId="81" fillId="0" borderId="35" xfId="0" applyFont="1" applyBorder="1" applyAlignment="1">
      <alignment horizontal="center" vertical="center" wrapText="1"/>
    </xf>
    <xf numFmtId="2" fontId="10" fillId="0" borderId="35" xfId="0" applyNumberFormat="1" applyFont="1" applyBorder="1" applyAlignment="1">
      <alignment vertical="center"/>
    </xf>
    <xf numFmtId="179" fontId="10" fillId="0" borderId="35" xfId="0" applyNumberFormat="1" applyFont="1" applyBorder="1" applyAlignment="1">
      <alignment vertical="center"/>
    </xf>
    <xf numFmtId="2" fontId="10" fillId="0" borderId="35" xfId="1" applyNumberFormat="1" applyFont="1" applyFill="1" applyBorder="1" applyAlignment="1">
      <alignment vertical="center"/>
    </xf>
    <xf numFmtId="179" fontId="11" fillId="2" borderId="35" xfId="0" applyNumberFormat="1" applyFont="1" applyFill="1" applyBorder="1" applyAlignment="1">
      <alignment vertical="center"/>
    </xf>
    <xf numFmtId="0" fontId="10" fillId="93" borderId="35" xfId="0" applyFont="1" applyFill="1" applyBorder="1" applyAlignment="1">
      <alignment vertical="center"/>
    </xf>
    <xf numFmtId="2" fontId="11" fillId="0" borderId="35" xfId="0" applyNumberFormat="1" applyFont="1" applyBorder="1" applyAlignment="1">
      <alignment vertical="center"/>
    </xf>
    <xf numFmtId="179" fontId="11" fillId="0" borderId="35" xfId="0" applyNumberFormat="1" applyFont="1" applyBorder="1" applyAlignment="1">
      <alignment vertical="center"/>
    </xf>
    <xf numFmtId="178" fontId="11" fillId="0" borderId="35" xfId="0" applyNumberFormat="1" applyFont="1" applyBorder="1" applyAlignment="1">
      <alignment vertical="center"/>
    </xf>
    <xf numFmtId="10" fontId="11" fillId="2" borderId="35" xfId="1" applyNumberFormat="1" applyFont="1" applyFill="1" applyBorder="1" applyAlignment="1">
      <alignment vertical="center"/>
    </xf>
    <xf numFmtId="168" fontId="11" fillId="0" borderId="35" xfId="3" applyNumberFormat="1" applyFont="1" applyBorder="1" applyAlignment="1">
      <alignment vertical="center"/>
    </xf>
    <xf numFmtId="6" fontId="11" fillId="0" borderId="35" xfId="3" applyNumberFormat="1" applyFont="1" applyBorder="1" applyAlignment="1">
      <alignment vertical="center"/>
    </xf>
    <xf numFmtId="3" fontId="10" fillId="0" borderId="35" xfId="0" applyNumberFormat="1" applyFont="1" applyBorder="1" applyAlignment="1">
      <alignment vertical="center"/>
    </xf>
    <xf numFmtId="3" fontId="11" fillId="0" borderId="35" xfId="0" applyNumberFormat="1" applyFont="1" applyBorder="1" applyAlignment="1">
      <alignment vertical="center"/>
    </xf>
    <xf numFmtId="0" fontId="10" fillId="0" borderId="35" xfId="0" applyFont="1" applyBorder="1" applyAlignment="1">
      <alignment horizontal="left" vertical="center"/>
    </xf>
    <xf numFmtId="3" fontId="10" fillId="0" borderId="35" xfId="2" applyNumberFormat="1" applyFont="1" applyFill="1" applyBorder="1" applyAlignment="1">
      <alignment horizontal="right" vertical="center"/>
    </xf>
    <xf numFmtId="10" fontId="10" fillId="0" borderId="35" xfId="1" applyNumberFormat="1" applyFont="1" applyBorder="1" applyAlignment="1">
      <alignment horizontal="right" vertical="center"/>
    </xf>
    <xf numFmtId="44" fontId="10" fillId="0" borderId="35" xfId="3" applyFont="1" applyBorder="1" applyAlignment="1">
      <alignment vertical="center"/>
    </xf>
    <xf numFmtId="10" fontId="11" fillId="2" borderId="35" xfId="0" applyNumberFormat="1" applyFont="1" applyFill="1" applyBorder="1" applyAlignment="1">
      <alignment vertical="center"/>
    </xf>
    <xf numFmtId="44" fontId="11" fillId="0" borderId="35" xfId="1" applyNumberFormat="1" applyFont="1" applyBorder="1" applyAlignment="1">
      <alignment vertical="center"/>
    </xf>
    <xf numFmtId="0" fontId="0" fillId="0" borderId="35" xfId="0" applyBorder="1"/>
    <xf numFmtId="44" fontId="0" fillId="0" borderId="35" xfId="3" applyFont="1" applyBorder="1"/>
    <xf numFmtId="44" fontId="84" fillId="0" borderId="35" xfId="3" applyFont="1" applyBorder="1"/>
    <xf numFmtId="0" fontId="0" fillId="91" borderId="35" xfId="0" applyFill="1" applyBorder="1"/>
    <xf numFmtId="44" fontId="0" fillId="91" borderId="35" xfId="3" applyFont="1" applyFill="1" applyBorder="1"/>
    <xf numFmtId="0" fontId="62" fillId="95" borderId="0" xfId="0" applyFont="1" applyFill="1"/>
    <xf numFmtId="0" fontId="62" fillId="96" borderId="0" xfId="0" applyFont="1" applyFill="1"/>
    <xf numFmtId="0" fontId="62" fillId="0" borderId="0" xfId="0" applyFont="1" applyAlignment="1">
      <alignment horizontal="center"/>
    </xf>
    <xf numFmtId="167" fontId="0" fillId="0" borderId="0" xfId="110" applyNumberFormat="1" applyFont="1"/>
    <xf numFmtId="44" fontId="0" fillId="0" borderId="0" xfId="0" applyNumberFormat="1"/>
    <xf numFmtId="0" fontId="0" fillId="97" borderId="35" xfId="0" applyFill="1" applyBorder="1"/>
    <xf numFmtId="167" fontId="77" fillId="86" borderId="35" xfId="930" applyNumberFormat="1" applyBorder="1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vertical="center"/>
    </xf>
    <xf numFmtId="1" fontId="13" fillId="0" borderId="35" xfId="1" applyNumberFormat="1" applyFont="1" applyFill="1" applyBorder="1" applyAlignment="1">
      <alignment vertical="center"/>
    </xf>
    <xf numFmtId="168" fontId="15" fillId="2" borderId="35" xfId="3" applyNumberFormat="1" applyFont="1" applyFill="1" applyBorder="1" applyAlignment="1">
      <alignment vertical="center"/>
    </xf>
    <xf numFmtId="168" fontId="13" fillId="0" borderId="0" xfId="3" applyNumberFormat="1" applyFont="1" applyAlignment="1">
      <alignment vertical="center"/>
    </xf>
    <xf numFmtId="168" fontId="13" fillId="2" borderId="35" xfId="3" applyNumberFormat="1" applyFont="1" applyFill="1" applyBorder="1" applyAlignment="1">
      <alignment vertical="center"/>
    </xf>
    <xf numFmtId="10" fontId="13" fillId="0" borderId="35" xfId="1" applyNumberFormat="1" applyFont="1" applyBorder="1" applyAlignment="1">
      <alignment vertical="center"/>
    </xf>
    <xf numFmtId="172" fontId="10" fillId="0" borderId="35" xfId="0" applyNumberFormat="1" applyFont="1" applyBorder="1" applyAlignment="1">
      <alignment vertical="center"/>
    </xf>
    <xf numFmtId="0" fontId="89" fillId="0" borderId="35" xfId="931" applyFont="1" applyBorder="1" applyAlignment="1">
      <alignment horizontal="center" vertical="top" wrapText="1"/>
    </xf>
    <xf numFmtId="0" fontId="89" fillId="0" borderId="35" xfId="931" applyFont="1" applyBorder="1" applyAlignment="1">
      <alignment horizontal="center" vertical="center"/>
    </xf>
    <xf numFmtId="0" fontId="89" fillId="0" borderId="35" xfId="931" applyFont="1" applyBorder="1" applyAlignment="1">
      <alignment horizontal="center" vertical="top"/>
    </xf>
    <xf numFmtId="0" fontId="88" fillId="0" borderId="55" xfId="931" applyFont="1" applyBorder="1" applyAlignment="1">
      <alignment horizontal="center" vertical="center" wrapText="1"/>
    </xf>
    <xf numFmtId="0" fontId="88" fillId="0" borderId="56" xfId="931" applyFont="1" applyBorder="1" applyAlignment="1">
      <alignment horizontal="center" vertical="center" wrapText="1"/>
    </xf>
    <xf numFmtId="0" fontId="88" fillId="0" borderId="57" xfId="931" applyFont="1" applyBorder="1" applyAlignment="1">
      <alignment horizontal="center" vertical="center" wrapText="1"/>
    </xf>
    <xf numFmtId="0" fontId="90" fillId="0" borderId="54" xfId="931" applyFont="1" applyBorder="1" applyAlignment="1">
      <alignment horizontal="center" vertical="center"/>
    </xf>
    <xf numFmtId="0" fontId="90" fillId="0" borderId="53" xfId="931" applyFont="1" applyBorder="1" applyAlignment="1">
      <alignment horizontal="center" vertical="center"/>
    </xf>
    <xf numFmtId="0" fontId="90" fillId="0" borderId="51" xfId="931" applyFont="1" applyBorder="1" applyAlignment="1">
      <alignment horizontal="center" vertical="center"/>
    </xf>
    <xf numFmtId="0" fontId="0" fillId="44" borderId="35" xfId="0" applyFill="1" applyBorder="1"/>
    <xf numFmtId="10" fontId="86" fillId="44" borderId="35" xfId="1" applyNumberFormat="1" applyFont="1" applyFill="1" applyBorder="1"/>
    <xf numFmtId="179" fontId="11" fillId="44" borderId="35" xfId="0" applyNumberFormat="1" applyFont="1" applyFill="1" applyBorder="1" applyAlignment="1">
      <alignment vertical="center"/>
    </xf>
    <xf numFmtId="6" fontId="10" fillId="0" borderId="0" xfId="0" applyNumberFormat="1" applyFont="1" applyAlignment="1">
      <alignment vertical="center"/>
    </xf>
    <xf numFmtId="44" fontId="10" fillId="0" borderId="35" xfId="3" applyFont="1" applyBorder="1" applyAlignment="1"/>
    <xf numFmtId="44" fontId="13" fillId="0" borderId="35" xfId="3" applyFont="1" applyBorder="1" applyAlignment="1"/>
    <xf numFmtId="170" fontId="15" fillId="2" borderId="35" xfId="0" applyNumberFormat="1" applyFont="1" applyFill="1" applyBorder="1" applyAlignment="1">
      <alignment vertical="center"/>
    </xf>
    <xf numFmtId="2" fontId="10" fillId="0" borderId="0" xfId="0" applyNumberFormat="1" applyFont="1" applyAlignment="1">
      <alignment horizontal="right" vertical="center"/>
    </xf>
    <xf numFmtId="0" fontId="10" fillId="2" borderId="35" xfId="0" applyFont="1" applyFill="1" applyBorder="1" applyAlignment="1">
      <alignment horizontal="center" vertical="center" wrapText="1"/>
    </xf>
    <xf numFmtId="168" fontId="57" fillId="2" borderId="35" xfId="0" applyNumberFormat="1" applyFont="1" applyFill="1" applyBorder="1" applyAlignment="1">
      <alignment vertical="center"/>
    </xf>
    <xf numFmtId="0" fontId="89" fillId="0" borderId="35" xfId="931" applyFont="1" applyBorder="1" applyAlignment="1">
      <alignment horizontal="left" vertical="top"/>
    </xf>
    <xf numFmtId="0" fontId="89" fillId="0" borderId="35" xfId="931" applyFont="1" applyBorder="1" applyAlignment="1">
      <alignment horizontal="left" vertical="top" wrapText="1"/>
    </xf>
    <xf numFmtId="0" fontId="87" fillId="0" borderId="35" xfId="931" applyFont="1" applyBorder="1" applyAlignment="1">
      <alignment horizontal="center" vertical="center"/>
    </xf>
    <xf numFmtId="0" fontId="87" fillId="0" borderId="35" xfId="931" applyFont="1" applyBorder="1" applyAlignment="1">
      <alignment horizontal="center" vertical="center" wrapText="1"/>
    </xf>
    <xf numFmtId="0" fontId="88" fillId="0" borderId="35" xfId="931" applyFont="1" applyBorder="1" applyAlignment="1">
      <alignment horizontal="center" vertical="center" wrapText="1"/>
    </xf>
    <xf numFmtId="4" fontId="88" fillId="0" borderId="35" xfId="931" applyNumberFormat="1" applyFont="1" applyBorder="1" applyAlignment="1">
      <alignment horizontal="center" vertical="center" wrapText="1"/>
    </xf>
    <xf numFmtId="4" fontId="90" fillId="0" borderId="35" xfId="931" quotePrefix="1" applyNumberFormat="1" applyFont="1" applyBorder="1"/>
    <xf numFmtId="6" fontId="10" fillId="0" borderId="35" xfId="3" applyNumberFormat="1" applyFont="1" applyFill="1" applyBorder="1" applyAlignment="1">
      <alignment vertical="center"/>
    </xf>
    <xf numFmtId="170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167" fontId="13" fillId="0" borderId="35" xfId="0" applyNumberFormat="1" applyFont="1" applyBorder="1" applyAlignment="1">
      <alignment vertical="center"/>
    </xf>
    <xf numFmtId="168" fontId="15" fillId="0" borderId="35" xfId="3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170" fontId="15" fillId="0" borderId="35" xfId="0" applyNumberFormat="1" applyFont="1" applyBorder="1" applyAlignment="1">
      <alignment vertical="center"/>
    </xf>
    <xf numFmtId="0" fontId="86" fillId="0" borderId="0" xfId="0" applyFont="1" applyAlignment="1">
      <alignment wrapText="1"/>
    </xf>
    <xf numFmtId="180" fontId="91" fillId="98" borderId="35" xfId="932" applyNumberFormat="1" applyBorder="1" applyAlignment="1">
      <alignment vertical="center"/>
    </xf>
    <xf numFmtId="2" fontId="0" fillId="0" borderId="35" xfId="0" applyNumberFormat="1" applyBorder="1"/>
    <xf numFmtId="178" fontId="10" fillId="0" borderId="35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68" fontId="13" fillId="0" borderId="35" xfId="3" applyNumberFormat="1" applyFont="1" applyFill="1" applyBorder="1" applyAlignment="1"/>
    <xf numFmtId="168" fontId="13" fillId="0" borderId="35" xfId="3" applyNumberFormat="1" applyFont="1" applyBorder="1" applyAlignment="1">
      <alignment vertical="center"/>
    </xf>
    <xf numFmtId="10" fontId="10" fillId="0" borderId="35" xfId="0" applyNumberFormat="1" applyFont="1" applyBorder="1"/>
    <xf numFmtId="2" fontId="13" fillId="0" borderId="35" xfId="1" applyNumberFormat="1" applyFont="1" applyFill="1" applyBorder="1" applyAlignment="1">
      <alignment vertical="center"/>
    </xf>
    <xf numFmtId="168" fontId="10" fillId="97" borderId="35" xfId="3" applyNumberFormat="1" applyFont="1" applyFill="1" applyBorder="1" applyAlignment="1">
      <alignment vertical="center"/>
    </xf>
    <xf numFmtId="168" fontId="10" fillId="0" borderId="58" xfId="3" applyNumberFormat="1" applyFont="1" applyFill="1" applyBorder="1"/>
    <xf numFmtId="0" fontId="79" fillId="0" borderId="35" xfId="0" applyFont="1" applyBorder="1" applyAlignment="1">
      <alignment vertical="center"/>
    </xf>
    <xf numFmtId="167" fontId="57" fillId="0" borderId="35" xfId="0" applyNumberFormat="1" applyFont="1" applyBorder="1" applyAlignment="1">
      <alignment vertical="center"/>
    </xf>
    <xf numFmtId="167" fontId="79" fillId="2" borderId="35" xfId="0" applyNumberFormat="1" applyFont="1" applyFill="1" applyBorder="1" applyAlignment="1">
      <alignment vertical="center"/>
    </xf>
    <xf numFmtId="167" fontId="79" fillId="0" borderId="35" xfId="0" applyNumberFormat="1" applyFont="1" applyBorder="1" applyAlignment="1">
      <alignment vertical="center"/>
    </xf>
    <xf numFmtId="10" fontId="79" fillId="0" borderId="35" xfId="1" applyNumberFormat="1" applyFont="1" applyBorder="1" applyAlignment="1">
      <alignment vertical="center"/>
    </xf>
    <xf numFmtId="0" fontId="11" fillId="92" borderId="35" xfId="0" applyFont="1" applyFill="1" applyBorder="1" applyAlignment="1">
      <alignment horizontal="center" vertical="center"/>
    </xf>
    <xf numFmtId="167" fontId="10" fillId="92" borderId="35" xfId="0" applyNumberFormat="1" applyFont="1" applyFill="1" applyBorder="1" applyAlignment="1">
      <alignment vertical="center"/>
    </xf>
    <xf numFmtId="167" fontId="11" fillId="92" borderId="35" xfId="0" applyNumberFormat="1" applyFont="1" applyFill="1" applyBorder="1" applyAlignment="1">
      <alignment vertical="center"/>
    </xf>
    <xf numFmtId="167" fontId="57" fillId="92" borderId="35" xfId="0" applyNumberFormat="1" applyFont="1" applyFill="1" applyBorder="1" applyAlignment="1">
      <alignment vertical="center"/>
    </xf>
    <xf numFmtId="167" fontId="79" fillId="92" borderId="35" xfId="0" applyNumberFormat="1" applyFont="1" applyFill="1" applyBorder="1" applyAlignment="1">
      <alignment vertical="center"/>
    </xf>
    <xf numFmtId="168" fontId="15" fillId="99" borderId="35" xfId="3" applyNumberFormat="1" applyFont="1" applyFill="1" applyBorder="1" applyAlignment="1">
      <alignment vertical="center"/>
    </xf>
    <xf numFmtId="167" fontId="92" fillId="0" borderId="35" xfId="0" applyNumberFormat="1" applyFont="1" applyBorder="1" applyAlignment="1">
      <alignment vertical="center"/>
    </xf>
    <xf numFmtId="10" fontId="11" fillId="92" borderId="35" xfId="1" applyNumberFormat="1" applyFont="1" applyFill="1" applyBorder="1" applyAlignment="1">
      <alignment vertical="center"/>
    </xf>
    <xf numFmtId="167" fontId="92" fillId="92" borderId="35" xfId="0" applyNumberFormat="1" applyFont="1" applyFill="1" applyBorder="1" applyAlignment="1">
      <alignment vertical="center"/>
    </xf>
    <xf numFmtId="10" fontId="92" fillId="92" borderId="35" xfId="1" applyNumberFormat="1" applyFont="1" applyFill="1" applyBorder="1" applyAlignment="1">
      <alignment vertical="center"/>
    </xf>
    <xf numFmtId="10" fontId="79" fillId="92" borderId="35" xfId="1" applyNumberFormat="1" applyFont="1" applyFill="1" applyBorder="1" applyAlignment="1">
      <alignment vertical="center"/>
    </xf>
    <xf numFmtId="10" fontId="10" fillId="100" borderId="35" xfId="1" applyNumberFormat="1" applyFont="1" applyFill="1" applyBorder="1" applyAlignment="1"/>
    <xf numFmtId="168" fontId="76" fillId="100" borderId="35" xfId="3" applyNumberFormat="1" applyFont="1" applyFill="1" applyBorder="1" applyAlignment="1">
      <alignment horizontal="right" vertical="center"/>
    </xf>
    <xf numFmtId="168" fontId="15" fillId="100" borderId="35" xfId="3" applyNumberFormat="1" applyFont="1" applyFill="1" applyBorder="1" applyAlignment="1">
      <alignment vertical="center"/>
    </xf>
    <xf numFmtId="168" fontId="76" fillId="101" borderId="35" xfId="3" applyNumberFormat="1" applyFont="1" applyFill="1" applyBorder="1" applyAlignment="1">
      <alignment horizontal="right" vertical="center"/>
    </xf>
    <xf numFmtId="168" fontId="79" fillId="0" borderId="35" xfId="3" applyNumberFormat="1" applyFont="1" applyBorder="1" applyAlignment="1">
      <alignment vertical="center"/>
    </xf>
    <xf numFmtId="0" fontId="15" fillId="2" borderId="48" xfId="0" applyFont="1" applyFill="1" applyBorder="1" applyAlignment="1">
      <alignment horizontal="center" vertical="center" wrapText="1"/>
    </xf>
    <xf numFmtId="168" fontId="15" fillId="2" borderId="48" xfId="3" applyNumberFormat="1" applyFont="1" applyFill="1" applyBorder="1" applyAlignment="1">
      <alignment vertical="center"/>
    </xf>
    <xf numFmtId="0" fontId="10" fillId="0" borderId="59" xfId="0" applyFont="1" applyBorder="1" applyAlignment="1">
      <alignment vertical="center"/>
    </xf>
    <xf numFmtId="164" fontId="10" fillId="99" borderId="59" xfId="0" applyNumberFormat="1" applyFont="1" applyFill="1" applyBorder="1" applyAlignment="1">
      <alignment vertical="center"/>
    </xf>
    <xf numFmtId="0" fontId="93" fillId="99" borderId="59" xfId="0" applyFont="1" applyFill="1" applyBorder="1" applyAlignment="1">
      <alignment vertical="center" wrapText="1"/>
    </xf>
    <xf numFmtId="1" fontId="10" fillId="100" borderId="35" xfId="0" applyNumberFormat="1" applyFont="1" applyFill="1" applyBorder="1" applyAlignment="1">
      <alignment vertical="center"/>
    </xf>
    <xf numFmtId="10" fontId="92" fillId="0" borderId="35" xfId="1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3" fillId="0" borderId="35" xfId="0" applyFont="1" applyBorder="1" applyAlignment="1">
      <alignment horizontal="center" vertical="center" wrapText="1"/>
    </xf>
    <xf numFmtId="168" fontId="93" fillId="0" borderId="35" xfId="3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102" borderId="0" xfId="0" applyFont="1" applyFill="1" applyAlignment="1">
      <alignment vertical="center"/>
    </xf>
    <xf numFmtId="0" fontId="80" fillId="102" borderId="0" xfId="0" applyFont="1" applyFill="1" applyAlignment="1">
      <alignment vertical="center"/>
    </xf>
    <xf numFmtId="0" fontId="11" fillId="102" borderId="35" xfId="0" applyFont="1" applyFill="1" applyBorder="1" applyAlignment="1">
      <alignment horizontal="center" vertical="center"/>
    </xf>
    <xf numFmtId="0" fontId="11" fillId="102" borderId="35" xfId="0" applyFont="1" applyFill="1" applyBorder="1" applyAlignment="1">
      <alignment vertical="center"/>
    </xf>
    <xf numFmtId="167" fontId="10" fillId="102" borderId="35" xfId="0" applyNumberFormat="1" applyFont="1" applyFill="1" applyBorder="1" applyAlignment="1">
      <alignment vertical="center"/>
    </xf>
    <xf numFmtId="167" fontId="11" fillId="102" borderId="35" xfId="0" applyNumberFormat="1" applyFont="1" applyFill="1" applyBorder="1" applyAlignment="1">
      <alignment vertical="center"/>
    </xf>
    <xf numFmtId="0" fontId="15" fillId="102" borderId="35" xfId="0" applyFont="1" applyFill="1" applyBorder="1" applyAlignment="1">
      <alignment vertical="center"/>
    </xf>
    <xf numFmtId="167" fontId="13" fillId="102" borderId="35" xfId="0" applyNumberFormat="1" applyFont="1" applyFill="1" applyBorder="1" applyAlignment="1">
      <alignment vertical="center"/>
    </xf>
    <xf numFmtId="0" fontId="79" fillId="102" borderId="35" xfId="0" applyFont="1" applyFill="1" applyBorder="1" applyAlignment="1">
      <alignment vertical="center"/>
    </xf>
    <xf numFmtId="167" fontId="57" fillId="102" borderId="35" xfId="0" applyNumberFormat="1" applyFont="1" applyFill="1" applyBorder="1" applyAlignment="1">
      <alignment vertical="center"/>
    </xf>
    <xf numFmtId="167" fontId="79" fillId="102" borderId="35" xfId="0" applyNumberFormat="1" applyFont="1" applyFill="1" applyBorder="1" applyAlignment="1">
      <alignment vertical="center"/>
    </xf>
    <xf numFmtId="0" fontId="85" fillId="102" borderId="0" xfId="0" applyFont="1" applyFill="1" applyAlignment="1">
      <alignment vertical="center"/>
    </xf>
    <xf numFmtId="170" fontId="85" fillId="10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68" fontId="94" fillId="0" borderId="35" xfId="0" applyNumberFormat="1" applyFont="1" applyBorder="1" applyAlignment="1">
      <alignment vertical="center"/>
    </xf>
    <xf numFmtId="168" fontId="57" fillId="97" borderId="35" xfId="3" applyNumberFormat="1" applyFont="1" applyFill="1" applyBorder="1" applyAlignment="1"/>
    <xf numFmtId="0" fontId="95" fillId="0" borderId="0" xfId="0" applyFont="1" applyAlignment="1">
      <alignment vertical="center"/>
    </xf>
    <xf numFmtId="0" fontId="11" fillId="2" borderId="48" xfId="0" applyFont="1" applyFill="1" applyBorder="1" applyAlignment="1">
      <alignment horizontal="center" vertical="center" wrapText="1"/>
    </xf>
    <xf numFmtId="168" fontId="11" fillId="2" borderId="48" xfId="0" applyNumberFormat="1" applyFont="1" applyFill="1" applyBorder="1" applyAlignment="1">
      <alignment vertical="center"/>
    </xf>
    <xf numFmtId="168" fontId="11" fillId="2" borderId="48" xfId="3" applyNumberFormat="1" applyFont="1" applyFill="1" applyBorder="1" applyAlignment="1">
      <alignment vertical="center"/>
    </xf>
    <xf numFmtId="0" fontId="11" fillId="103" borderId="35" xfId="0" applyFont="1" applyFill="1" applyBorder="1" applyAlignment="1">
      <alignment horizontal="center" vertical="center"/>
    </xf>
    <xf numFmtId="167" fontId="11" fillId="103" borderId="35" xfId="0" applyNumberFormat="1" applyFont="1" applyFill="1" applyBorder="1" applyAlignment="1">
      <alignment vertical="center"/>
    </xf>
    <xf numFmtId="167" fontId="79" fillId="103" borderId="35" xfId="0" applyNumberFormat="1" applyFont="1" applyFill="1" applyBorder="1" applyAlignment="1">
      <alignment vertical="center"/>
    </xf>
    <xf numFmtId="1" fontId="11" fillId="2" borderId="35" xfId="0" applyNumberFormat="1" applyFont="1" applyFill="1" applyBorder="1" applyAlignment="1">
      <alignment horizontal="center" vertical="center"/>
    </xf>
    <xf numFmtId="1" fontId="11" fillId="100" borderId="35" xfId="0" applyNumberFormat="1" applyFont="1" applyFill="1" applyBorder="1" applyAlignment="1">
      <alignment horizontal="center" vertical="center"/>
    </xf>
    <xf numFmtId="0" fontId="10" fillId="44" borderId="0" xfId="0" applyFont="1" applyFill="1" applyAlignment="1">
      <alignment vertical="center"/>
    </xf>
    <xf numFmtId="0" fontId="93" fillId="44" borderId="59" xfId="0" applyFont="1" applyFill="1" applyBorder="1" applyAlignment="1">
      <alignment horizontal="center" vertical="center"/>
    </xf>
    <xf numFmtId="168" fontId="10" fillId="44" borderId="59" xfId="0" applyNumberFormat="1" applyFont="1" applyFill="1" applyBorder="1" applyAlignment="1">
      <alignment vertical="center"/>
    </xf>
    <xf numFmtId="168" fontId="10" fillId="44" borderId="35" xfId="0" applyNumberFormat="1" applyFont="1" applyFill="1" applyBorder="1" applyAlignment="1">
      <alignment vertical="center"/>
    </xf>
    <xf numFmtId="0" fontId="3" fillId="44" borderId="0" xfId="0" applyFont="1" applyFill="1" applyAlignment="1">
      <alignment vertical="center"/>
    </xf>
    <xf numFmtId="168" fontId="93" fillId="44" borderId="59" xfId="0" applyNumberFormat="1" applyFont="1" applyFill="1" applyBorder="1" applyAlignment="1">
      <alignment vertical="center"/>
    </xf>
    <xf numFmtId="168" fontId="76" fillId="104" borderId="35" xfId="3" applyNumberFormat="1" applyFont="1" applyFill="1" applyBorder="1" applyAlignment="1">
      <alignment horizontal="right" vertical="center"/>
    </xf>
    <xf numFmtId="168" fontId="10" fillId="44" borderId="59" xfId="0" applyNumberFormat="1" applyFont="1" applyFill="1" applyBorder="1" applyAlignment="1">
      <alignment vertical="center" wrapText="1"/>
    </xf>
    <xf numFmtId="0" fontId="93" fillId="44" borderId="59" xfId="0" applyFont="1" applyFill="1" applyBorder="1" applyAlignment="1">
      <alignment horizontal="center" vertical="center" wrapText="1"/>
    </xf>
    <xf numFmtId="0" fontId="11" fillId="105" borderId="35" xfId="0" applyFont="1" applyFill="1" applyBorder="1" applyAlignment="1">
      <alignment horizontal="center" vertical="center" wrapText="1"/>
    </xf>
    <xf numFmtId="181" fontId="11" fillId="105" borderId="35" xfId="2" applyNumberFormat="1" applyFont="1" applyFill="1" applyBorder="1" applyAlignment="1">
      <alignment horizontal="right" vertical="center" wrapText="1"/>
    </xf>
    <xf numFmtId="181" fontId="11" fillId="105" borderId="35" xfId="2" applyNumberFormat="1" applyFont="1" applyFill="1" applyBorder="1" applyAlignment="1">
      <alignment horizontal="right" vertical="center"/>
    </xf>
    <xf numFmtId="167" fontId="10" fillId="106" borderId="35" xfId="0" applyNumberFormat="1" applyFont="1" applyFill="1" applyBorder="1" applyAlignment="1">
      <alignment vertical="center"/>
    </xf>
    <xf numFmtId="167" fontId="93" fillId="106" borderId="35" xfId="0" applyNumberFormat="1" applyFont="1" applyFill="1" applyBorder="1" applyAlignment="1">
      <alignment vertical="center"/>
    </xf>
    <xf numFmtId="0" fontId="93" fillId="106" borderId="35" xfId="0" applyFont="1" applyFill="1" applyBorder="1" applyAlignment="1">
      <alignment vertical="center"/>
    </xf>
    <xf numFmtId="0" fontId="93" fillId="106" borderId="35" xfId="0" applyFont="1" applyFill="1" applyBorder="1" applyAlignment="1">
      <alignment horizontal="center" vertical="center"/>
    </xf>
    <xf numFmtId="0" fontId="93" fillId="107" borderId="35" xfId="0" applyFont="1" applyFill="1" applyBorder="1" applyAlignment="1">
      <alignment vertical="center"/>
    </xf>
    <xf numFmtId="0" fontId="93" fillId="107" borderId="35" xfId="0" applyFont="1" applyFill="1" applyBorder="1" applyAlignment="1">
      <alignment horizontal="center" vertical="center"/>
    </xf>
    <xf numFmtId="167" fontId="10" fillId="107" borderId="35" xfId="0" applyNumberFormat="1" applyFont="1" applyFill="1" applyBorder="1" applyAlignment="1">
      <alignment vertical="center"/>
    </xf>
    <xf numFmtId="167" fontId="93" fillId="107" borderId="35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7" fontId="10" fillId="0" borderId="42" xfId="0" applyNumberFormat="1" applyFont="1" applyBorder="1" applyAlignment="1">
      <alignment horizontal="right" vertical="center"/>
    </xf>
    <xf numFmtId="167" fontId="10" fillId="0" borderId="9" xfId="0" applyNumberFormat="1" applyFont="1" applyBorder="1" applyAlignment="1">
      <alignment horizontal="right" vertical="center"/>
    </xf>
    <xf numFmtId="10" fontId="10" fillId="0" borderId="42" xfId="1" applyNumberFormat="1" applyFont="1" applyBorder="1" applyAlignment="1">
      <alignment horizontal="right" vertical="center"/>
    </xf>
    <xf numFmtId="10" fontId="10" fillId="0" borderId="9" xfId="1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167" fontId="10" fillId="0" borderId="42" xfId="0" applyNumberFormat="1" applyFont="1" applyBorder="1" applyAlignment="1">
      <alignment horizontal="center" vertical="center"/>
    </xf>
    <xf numFmtId="167" fontId="10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3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8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5" fillId="0" borderId="3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1" fillId="92" borderId="35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 wrapText="1"/>
    </xf>
    <xf numFmtId="0" fontId="11" fillId="102" borderId="42" xfId="0" applyFont="1" applyFill="1" applyBorder="1" applyAlignment="1">
      <alignment horizontal="center" vertical="center"/>
    </xf>
    <xf numFmtId="0" fontId="11" fillId="102" borderId="9" xfId="0" applyFont="1" applyFill="1" applyBorder="1" applyAlignment="1">
      <alignment horizontal="center" vertical="center"/>
    </xf>
    <xf numFmtId="0" fontId="11" fillId="102" borderId="35" xfId="0" applyFont="1" applyFill="1" applyBorder="1" applyAlignment="1">
      <alignment horizontal="center" vertical="center"/>
    </xf>
    <xf numFmtId="0" fontId="62" fillId="94" borderId="0" xfId="0" applyFont="1" applyFill="1" applyAlignment="1">
      <alignment horizontal="center"/>
    </xf>
    <xf numFmtId="0" fontId="15" fillId="2" borderId="35" xfId="0" applyFont="1" applyFill="1" applyBorder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79" fillId="2" borderId="48" xfId="0" applyFont="1" applyFill="1" applyBorder="1" applyAlignment="1">
      <alignment horizontal="left" vertical="center"/>
    </xf>
    <xf numFmtId="0" fontId="79" fillId="2" borderId="46" xfId="0" applyFont="1" applyFill="1" applyBorder="1" applyAlignment="1">
      <alignment horizontal="left" vertical="center"/>
    </xf>
    <xf numFmtId="0" fontId="79" fillId="2" borderId="47" xfId="0" applyFont="1" applyFill="1" applyBorder="1" applyAlignment="1">
      <alignment horizontal="left" vertical="center"/>
    </xf>
    <xf numFmtId="0" fontId="57" fillId="0" borderId="48" xfId="0" applyFont="1" applyBorder="1" applyAlignment="1">
      <alignment horizontal="left" vertical="center"/>
    </xf>
    <xf numFmtId="0" fontId="57" fillId="0" borderId="46" xfId="0" applyFont="1" applyBorder="1" applyAlignment="1">
      <alignment horizontal="left" vertical="center"/>
    </xf>
    <xf numFmtId="0" fontId="57" fillId="0" borderId="47" xfId="0" applyFont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6" fillId="0" borderId="48" xfId="0" applyFont="1" applyBorder="1" applyAlignment="1">
      <alignment horizontal="left" vertical="center"/>
    </xf>
    <xf numFmtId="0" fontId="76" fillId="0" borderId="46" xfId="0" applyFont="1" applyBorder="1" applyAlignment="1">
      <alignment horizontal="left" vertical="center"/>
    </xf>
    <xf numFmtId="0" fontId="76" fillId="0" borderId="47" xfId="0" applyFont="1" applyBorder="1" applyAlignment="1">
      <alignment horizontal="left" vertical="center"/>
    </xf>
    <xf numFmtId="0" fontId="76" fillId="0" borderId="35" xfId="0" applyFont="1" applyBorder="1" applyAlignment="1">
      <alignment horizontal="left" vertical="center"/>
    </xf>
    <xf numFmtId="0" fontId="76" fillId="0" borderId="48" xfId="0" applyFont="1" applyBorder="1" applyAlignment="1">
      <alignment horizontal="left" vertical="center" wrapText="1"/>
    </xf>
    <xf numFmtId="0" fontId="76" fillId="0" borderId="46" xfId="0" applyFont="1" applyBorder="1" applyAlignment="1">
      <alignment horizontal="left" vertical="center" wrapText="1"/>
    </xf>
    <xf numFmtId="0" fontId="76" fillId="0" borderId="47" xfId="0" applyFont="1" applyBorder="1" applyAlignment="1">
      <alignment horizontal="left" vertical="center" wrapText="1"/>
    </xf>
    <xf numFmtId="0" fontId="76" fillId="100" borderId="35" xfId="0" applyFont="1" applyFill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79" fillId="2" borderId="35" xfId="0" applyFont="1" applyFill="1" applyBorder="1" applyAlignment="1">
      <alignment horizontal="left" vertical="center" wrapText="1"/>
    </xf>
    <xf numFmtId="0" fontId="76" fillId="0" borderId="35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/>
    </xf>
    <xf numFmtId="0" fontId="76" fillId="104" borderId="35" xfId="0" applyFont="1" applyFill="1" applyBorder="1" applyAlignment="1">
      <alignment horizontal="left" vertical="center"/>
    </xf>
    <xf numFmtId="0" fontId="76" fillId="104" borderId="48" xfId="0" applyFont="1" applyFill="1" applyBorder="1" applyAlignment="1">
      <alignment horizontal="left" vertical="center"/>
    </xf>
    <xf numFmtId="0" fontId="76" fillId="104" borderId="46" xfId="0" applyFont="1" applyFill="1" applyBorder="1" applyAlignment="1">
      <alignment horizontal="left" vertical="center"/>
    </xf>
    <xf numFmtId="0" fontId="76" fillId="104" borderId="47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57" fillId="0" borderId="35" xfId="0" applyFont="1" applyBorder="1" applyAlignment="1">
      <alignment horizontal="left" vertical="center"/>
    </xf>
    <xf numFmtId="0" fontId="11" fillId="2" borderId="42" xfId="0" applyFont="1" applyFill="1" applyBorder="1" applyAlignment="1">
      <alignment horizontal="left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57" fillId="0" borderId="48" xfId="0" applyFont="1" applyBorder="1" applyAlignment="1">
      <alignment horizontal="left" vertical="center" wrapText="1"/>
    </xf>
    <xf numFmtId="0" fontId="57" fillId="0" borderId="46" xfId="0" applyFont="1" applyBorder="1" applyAlignment="1">
      <alignment horizontal="left" vertical="center" wrapText="1"/>
    </xf>
    <xf numFmtId="0" fontId="57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93" fillId="104" borderId="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7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35" xfId="0" applyFont="1" applyBorder="1" applyAlignment="1">
      <alignment horizontal="center"/>
    </xf>
    <xf numFmtId="0" fontId="17" fillId="0" borderId="35" xfId="0" applyFont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88" fillId="0" borderId="35" xfId="931" applyFont="1" applyBorder="1" applyAlignment="1">
      <alignment horizontal="center" vertical="center" wrapText="1"/>
    </xf>
    <xf numFmtId="0" fontId="87" fillId="0" borderId="54" xfId="931" applyFont="1" applyBorder="1" applyAlignment="1">
      <alignment horizontal="center" vertical="center"/>
    </xf>
    <xf numFmtId="0" fontId="87" fillId="0" borderId="52" xfId="931" applyFont="1" applyBorder="1" applyAlignment="1">
      <alignment horizontal="center" vertical="center"/>
    </xf>
    <xf numFmtId="0" fontId="87" fillId="0" borderId="51" xfId="931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100" borderId="0" xfId="0" applyFont="1" applyFill="1" applyAlignment="1">
      <alignment horizontal="left" vertical="center" wrapText="1"/>
    </xf>
    <xf numFmtId="0" fontId="86" fillId="0" borderId="0" xfId="0" applyFont="1" applyAlignment="1">
      <alignment horizontal="center" wrapText="1"/>
    </xf>
    <xf numFmtId="0" fontId="86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left" vertical="center"/>
    </xf>
  </cellXfs>
  <cellStyles count="933">
    <cellStyle name="20 % - zvýraznenie1 2" xfId="382" xr:uid="{00000000-0005-0000-0000-000000000000}"/>
    <cellStyle name="20 % - zvýraznenie1 2 2" xfId="383" xr:uid="{00000000-0005-0000-0000-000001000000}"/>
    <cellStyle name="20 % - zvýraznenie1 3" xfId="384" xr:uid="{00000000-0005-0000-0000-000002000000}"/>
    <cellStyle name="20 % - zvýraznenie1 3 2" xfId="385" xr:uid="{00000000-0005-0000-0000-000003000000}"/>
    <cellStyle name="20 % - zvýraznenie1 4" xfId="386" xr:uid="{00000000-0005-0000-0000-000004000000}"/>
    <cellStyle name="20 % - zvýraznenie1 4 2" xfId="387" xr:uid="{00000000-0005-0000-0000-000005000000}"/>
    <cellStyle name="20 % - zvýraznenie1 5" xfId="388" xr:uid="{00000000-0005-0000-0000-000006000000}"/>
    <cellStyle name="20 % - zvýraznenie1 5 2" xfId="389" xr:uid="{00000000-0005-0000-0000-000007000000}"/>
    <cellStyle name="20 % - zvýraznenie1 6" xfId="390" xr:uid="{00000000-0005-0000-0000-000008000000}"/>
    <cellStyle name="20 % - zvýraznenie1 7" xfId="391" xr:uid="{00000000-0005-0000-0000-000009000000}"/>
    <cellStyle name="20 % - zvýraznenie2 2" xfId="392" xr:uid="{00000000-0005-0000-0000-00000A000000}"/>
    <cellStyle name="20 % - zvýraznenie2 2 2" xfId="393" xr:uid="{00000000-0005-0000-0000-00000B000000}"/>
    <cellStyle name="20 % - zvýraznenie2 3" xfId="394" xr:uid="{00000000-0005-0000-0000-00000C000000}"/>
    <cellStyle name="20 % - zvýraznenie2 3 2" xfId="395" xr:uid="{00000000-0005-0000-0000-00000D000000}"/>
    <cellStyle name="20 % - zvýraznenie2 4" xfId="396" xr:uid="{00000000-0005-0000-0000-00000E000000}"/>
    <cellStyle name="20 % - zvýraznenie2 4 2" xfId="397" xr:uid="{00000000-0005-0000-0000-00000F000000}"/>
    <cellStyle name="20 % - zvýraznenie2 5" xfId="398" xr:uid="{00000000-0005-0000-0000-000010000000}"/>
    <cellStyle name="20 % - zvýraznenie2 5 2" xfId="399" xr:uid="{00000000-0005-0000-0000-000011000000}"/>
    <cellStyle name="20 % - zvýraznenie2 6" xfId="400" xr:uid="{00000000-0005-0000-0000-000012000000}"/>
    <cellStyle name="20 % - zvýraznenie2 7" xfId="401" xr:uid="{00000000-0005-0000-0000-000013000000}"/>
    <cellStyle name="20 % - zvýraznenie3 2" xfId="6" xr:uid="{00000000-0005-0000-0000-000014000000}"/>
    <cellStyle name="20 % - zvýraznenie3 2 2" xfId="402" xr:uid="{00000000-0005-0000-0000-000015000000}"/>
    <cellStyle name="20 % - zvýraznenie3 2 3" xfId="403" xr:uid="{00000000-0005-0000-0000-000016000000}"/>
    <cellStyle name="20 % - zvýraznenie3 3" xfId="404" xr:uid="{00000000-0005-0000-0000-000017000000}"/>
    <cellStyle name="20 % - zvýraznenie3 3 2" xfId="405" xr:uid="{00000000-0005-0000-0000-000018000000}"/>
    <cellStyle name="20 % - zvýraznenie3 4" xfId="406" xr:uid="{00000000-0005-0000-0000-000019000000}"/>
    <cellStyle name="20 % - zvýraznenie3 4 2" xfId="407" xr:uid="{00000000-0005-0000-0000-00001A000000}"/>
    <cellStyle name="20 % - zvýraznenie3 5" xfId="408" xr:uid="{00000000-0005-0000-0000-00001B000000}"/>
    <cellStyle name="20 % - zvýraznenie3 5 2" xfId="409" xr:uid="{00000000-0005-0000-0000-00001C000000}"/>
    <cellStyle name="20 % - zvýraznenie3 6" xfId="410" xr:uid="{00000000-0005-0000-0000-00001D000000}"/>
    <cellStyle name="20 % - zvýraznenie3 7" xfId="411" xr:uid="{00000000-0005-0000-0000-00001E000000}"/>
    <cellStyle name="20 % - zvýraznenie4 2" xfId="412" xr:uid="{00000000-0005-0000-0000-00001F000000}"/>
    <cellStyle name="20 % - zvýraznenie4 2 2" xfId="413" xr:uid="{00000000-0005-0000-0000-000020000000}"/>
    <cellStyle name="20 % - zvýraznenie4 3" xfId="414" xr:uid="{00000000-0005-0000-0000-000021000000}"/>
    <cellStyle name="20 % - zvýraznenie4 3 2" xfId="415" xr:uid="{00000000-0005-0000-0000-000022000000}"/>
    <cellStyle name="20 % - zvýraznenie4 4" xfId="416" xr:uid="{00000000-0005-0000-0000-000023000000}"/>
    <cellStyle name="20 % - zvýraznenie4 4 2" xfId="417" xr:uid="{00000000-0005-0000-0000-000024000000}"/>
    <cellStyle name="20 % - zvýraznenie4 5" xfId="418" xr:uid="{00000000-0005-0000-0000-000025000000}"/>
    <cellStyle name="20 % - zvýraznenie4 5 2" xfId="419" xr:uid="{00000000-0005-0000-0000-000026000000}"/>
    <cellStyle name="20 % - zvýraznenie4 6" xfId="420" xr:uid="{00000000-0005-0000-0000-000027000000}"/>
    <cellStyle name="20 % - zvýraznenie4 7" xfId="421" xr:uid="{00000000-0005-0000-0000-000028000000}"/>
    <cellStyle name="20 % - zvýraznenie5 2" xfId="422" xr:uid="{00000000-0005-0000-0000-000029000000}"/>
    <cellStyle name="20 % - zvýraznenie5 2 2" xfId="423" xr:uid="{00000000-0005-0000-0000-00002A000000}"/>
    <cellStyle name="20 % - zvýraznenie5 3" xfId="424" xr:uid="{00000000-0005-0000-0000-00002B000000}"/>
    <cellStyle name="20 % - zvýraznenie5 3 2" xfId="425" xr:uid="{00000000-0005-0000-0000-00002C000000}"/>
    <cellStyle name="20 % - zvýraznenie5 4" xfId="426" xr:uid="{00000000-0005-0000-0000-00002D000000}"/>
    <cellStyle name="20 % - zvýraznenie6 2" xfId="427" xr:uid="{00000000-0005-0000-0000-00002E000000}"/>
    <cellStyle name="20 % - zvýraznenie6 2 2" xfId="428" xr:uid="{00000000-0005-0000-0000-00002F000000}"/>
    <cellStyle name="20 % - zvýraznenie6 3" xfId="429" xr:uid="{00000000-0005-0000-0000-000030000000}"/>
    <cellStyle name="20 % - zvýraznenie6 3 2" xfId="430" xr:uid="{00000000-0005-0000-0000-000031000000}"/>
    <cellStyle name="20 % - zvýraznenie6 4" xfId="431" xr:uid="{00000000-0005-0000-0000-000032000000}"/>
    <cellStyle name="20% - Accent1" xfId="7" xr:uid="{00000000-0005-0000-0000-000033000000}"/>
    <cellStyle name="20% - Accent1 2" xfId="8" xr:uid="{00000000-0005-0000-0000-000034000000}"/>
    <cellStyle name="20% - Accent1 3" xfId="9" xr:uid="{00000000-0005-0000-0000-000035000000}"/>
    <cellStyle name="20% - Accent2" xfId="10" xr:uid="{00000000-0005-0000-0000-000036000000}"/>
    <cellStyle name="20% - Accent2 2" xfId="11" xr:uid="{00000000-0005-0000-0000-000037000000}"/>
    <cellStyle name="20% - Accent2 3" xfId="12" xr:uid="{00000000-0005-0000-0000-000038000000}"/>
    <cellStyle name="20% - Accent3" xfId="13" xr:uid="{00000000-0005-0000-0000-000039000000}"/>
    <cellStyle name="20% - Accent3 2" xfId="14" xr:uid="{00000000-0005-0000-0000-00003A000000}"/>
    <cellStyle name="20% - Accent3 3" xfId="15" xr:uid="{00000000-0005-0000-0000-00003B000000}"/>
    <cellStyle name="20% - Accent4" xfId="16" xr:uid="{00000000-0005-0000-0000-00003C000000}"/>
    <cellStyle name="20% - Accent4 2" xfId="17" xr:uid="{00000000-0005-0000-0000-00003D000000}"/>
    <cellStyle name="20% - Accent4 3" xfId="18" xr:uid="{00000000-0005-0000-0000-00003E000000}"/>
    <cellStyle name="20% - Accent5" xfId="19" xr:uid="{00000000-0005-0000-0000-00003F000000}"/>
    <cellStyle name="20% - Accent5 2" xfId="20" xr:uid="{00000000-0005-0000-0000-000040000000}"/>
    <cellStyle name="20% - Accent5 3" xfId="21" xr:uid="{00000000-0005-0000-0000-000041000000}"/>
    <cellStyle name="20% - Accent6" xfId="22" xr:uid="{00000000-0005-0000-0000-000042000000}"/>
    <cellStyle name="20% - Accent6 2" xfId="23" xr:uid="{00000000-0005-0000-0000-000043000000}"/>
    <cellStyle name="20% - Accent6 3" xfId="24" xr:uid="{00000000-0005-0000-0000-000044000000}"/>
    <cellStyle name="40 % - zvýraznenie1 2" xfId="432" xr:uid="{00000000-0005-0000-0000-000045000000}"/>
    <cellStyle name="40 % - zvýraznenie1 2 2" xfId="433" xr:uid="{00000000-0005-0000-0000-000046000000}"/>
    <cellStyle name="40 % - zvýraznenie1 3" xfId="434" xr:uid="{00000000-0005-0000-0000-000047000000}"/>
    <cellStyle name="40 % - zvýraznenie1 3 2" xfId="435" xr:uid="{00000000-0005-0000-0000-000048000000}"/>
    <cellStyle name="40 % - zvýraznenie1 4" xfId="436" xr:uid="{00000000-0005-0000-0000-000049000000}"/>
    <cellStyle name="40 % - zvýraznenie2 2" xfId="437" xr:uid="{00000000-0005-0000-0000-00004A000000}"/>
    <cellStyle name="40 % - zvýraznenie2 2 2" xfId="438" xr:uid="{00000000-0005-0000-0000-00004B000000}"/>
    <cellStyle name="40 % - zvýraznenie2 3" xfId="439" xr:uid="{00000000-0005-0000-0000-00004C000000}"/>
    <cellStyle name="40 % - zvýraznenie2 3 2" xfId="440" xr:uid="{00000000-0005-0000-0000-00004D000000}"/>
    <cellStyle name="40 % - zvýraznenie2 4" xfId="441" xr:uid="{00000000-0005-0000-0000-00004E000000}"/>
    <cellStyle name="40 % - zvýraznenie3 2" xfId="442" xr:uid="{00000000-0005-0000-0000-00004F000000}"/>
    <cellStyle name="40 % - zvýraznenie3 2 2" xfId="443" xr:uid="{00000000-0005-0000-0000-000050000000}"/>
    <cellStyle name="40 % - zvýraznenie3 3" xfId="444" xr:uid="{00000000-0005-0000-0000-000051000000}"/>
    <cellStyle name="40 % - zvýraznenie3 3 2" xfId="445" xr:uid="{00000000-0005-0000-0000-000052000000}"/>
    <cellStyle name="40 % - zvýraznenie3 4" xfId="446" xr:uid="{00000000-0005-0000-0000-000053000000}"/>
    <cellStyle name="40 % - zvýraznenie3 4 2" xfId="447" xr:uid="{00000000-0005-0000-0000-000054000000}"/>
    <cellStyle name="40 % - zvýraznenie3 5" xfId="448" xr:uid="{00000000-0005-0000-0000-000055000000}"/>
    <cellStyle name="40 % - zvýraznenie3 5 2" xfId="449" xr:uid="{00000000-0005-0000-0000-000056000000}"/>
    <cellStyle name="40 % - zvýraznenie3 6" xfId="450" xr:uid="{00000000-0005-0000-0000-000057000000}"/>
    <cellStyle name="40 % - zvýraznenie3 7" xfId="451" xr:uid="{00000000-0005-0000-0000-000058000000}"/>
    <cellStyle name="40 % - zvýraznenie4 2" xfId="452" xr:uid="{00000000-0005-0000-0000-000059000000}"/>
    <cellStyle name="40 % - zvýraznenie4 2 2" xfId="453" xr:uid="{00000000-0005-0000-0000-00005A000000}"/>
    <cellStyle name="40 % - zvýraznenie4 3" xfId="454" xr:uid="{00000000-0005-0000-0000-00005B000000}"/>
    <cellStyle name="40 % - zvýraznenie4 3 2" xfId="455" xr:uid="{00000000-0005-0000-0000-00005C000000}"/>
    <cellStyle name="40 % - zvýraznenie4 4" xfId="456" xr:uid="{00000000-0005-0000-0000-00005D000000}"/>
    <cellStyle name="40 % - zvýraznenie5 2" xfId="457" xr:uid="{00000000-0005-0000-0000-00005E000000}"/>
    <cellStyle name="40 % - zvýraznenie5 2 2" xfId="458" xr:uid="{00000000-0005-0000-0000-00005F000000}"/>
    <cellStyle name="40 % - zvýraznenie5 3" xfId="459" xr:uid="{00000000-0005-0000-0000-000060000000}"/>
    <cellStyle name="40 % - zvýraznenie5 3 2" xfId="460" xr:uid="{00000000-0005-0000-0000-000061000000}"/>
    <cellStyle name="40 % - zvýraznenie5 4" xfId="461" xr:uid="{00000000-0005-0000-0000-000062000000}"/>
    <cellStyle name="40 % - zvýraznenie6 2" xfId="462" xr:uid="{00000000-0005-0000-0000-000063000000}"/>
    <cellStyle name="40 % - zvýraznenie6 2 2" xfId="463" xr:uid="{00000000-0005-0000-0000-000064000000}"/>
    <cellStyle name="40 % - zvýraznenie6 3" xfId="464" xr:uid="{00000000-0005-0000-0000-000065000000}"/>
    <cellStyle name="40 % - zvýraznenie6 3 2" xfId="465" xr:uid="{00000000-0005-0000-0000-000066000000}"/>
    <cellStyle name="40 % - zvýraznenie6 4" xfId="466" xr:uid="{00000000-0005-0000-0000-000067000000}"/>
    <cellStyle name="40% - Accent1" xfId="25" xr:uid="{00000000-0005-0000-0000-000068000000}"/>
    <cellStyle name="40% - Accent1 2" xfId="26" xr:uid="{00000000-0005-0000-0000-000069000000}"/>
    <cellStyle name="40% - Accent1 3" xfId="27" xr:uid="{00000000-0005-0000-0000-00006A000000}"/>
    <cellStyle name="40% - Accent2" xfId="28" xr:uid="{00000000-0005-0000-0000-00006B000000}"/>
    <cellStyle name="40% - Accent2 2" xfId="29" xr:uid="{00000000-0005-0000-0000-00006C000000}"/>
    <cellStyle name="40% - Accent2 3" xfId="30" xr:uid="{00000000-0005-0000-0000-00006D000000}"/>
    <cellStyle name="40% - Accent3" xfId="31" xr:uid="{00000000-0005-0000-0000-00006E000000}"/>
    <cellStyle name="40% - Accent3 2" xfId="32" xr:uid="{00000000-0005-0000-0000-00006F000000}"/>
    <cellStyle name="40% - Accent3 3" xfId="33" xr:uid="{00000000-0005-0000-0000-000070000000}"/>
    <cellStyle name="40% - Accent4" xfId="34" xr:uid="{00000000-0005-0000-0000-000071000000}"/>
    <cellStyle name="40% - Accent4 2" xfId="35" xr:uid="{00000000-0005-0000-0000-000072000000}"/>
    <cellStyle name="40% - Accent4 3" xfId="36" xr:uid="{00000000-0005-0000-0000-000073000000}"/>
    <cellStyle name="40% - Accent5" xfId="37" xr:uid="{00000000-0005-0000-0000-000074000000}"/>
    <cellStyle name="40% - Accent5 2" xfId="38" xr:uid="{00000000-0005-0000-0000-000075000000}"/>
    <cellStyle name="40% - Accent5 3" xfId="39" xr:uid="{00000000-0005-0000-0000-000076000000}"/>
    <cellStyle name="40% - Accent6" xfId="40" xr:uid="{00000000-0005-0000-0000-000077000000}"/>
    <cellStyle name="40% - Accent6 2" xfId="41" xr:uid="{00000000-0005-0000-0000-000078000000}"/>
    <cellStyle name="40% - Accent6 3" xfId="42" xr:uid="{00000000-0005-0000-0000-000079000000}"/>
    <cellStyle name="60 % - zvýraznenie3 2" xfId="467" xr:uid="{00000000-0005-0000-0000-00007A000000}"/>
    <cellStyle name="60 % - zvýraznenie3 3" xfId="468" xr:uid="{00000000-0005-0000-0000-00007B000000}"/>
    <cellStyle name="60 % - zvýraznenie3 4" xfId="469" xr:uid="{00000000-0005-0000-0000-00007C000000}"/>
    <cellStyle name="60 % - zvýraznenie3 5" xfId="470" xr:uid="{00000000-0005-0000-0000-00007D000000}"/>
    <cellStyle name="60 % - zvýraznenie4 2" xfId="471" xr:uid="{00000000-0005-0000-0000-00007E000000}"/>
    <cellStyle name="60 % - zvýraznenie4 3" xfId="472" xr:uid="{00000000-0005-0000-0000-00007F000000}"/>
    <cellStyle name="60 % - zvýraznenie4 4" xfId="473" xr:uid="{00000000-0005-0000-0000-000080000000}"/>
    <cellStyle name="60 % - zvýraznenie4 5" xfId="474" xr:uid="{00000000-0005-0000-0000-000081000000}"/>
    <cellStyle name="60 % - zvýraznenie6 2" xfId="475" xr:uid="{00000000-0005-0000-0000-000082000000}"/>
    <cellStyle name="60 % - zvýraznenie6 3" xfId="476" xr:uid="{00000000-0005-0000-0000-000083000000}"/>
    <cellStyle name="60 % - zvýraznenie6 4" xfId="477" xr:uid="{00000000-0005-0000-0000-000084000000}"/>
    <cellStyle name="60 % - zvýraznenie6 5" xfId="478" xr:uid="{00000000-0005-0000-0000-000085000000}"/>
    <cellStyle name="60% - Accent1" xfId="43" xr:uid="{00000000-0005-0000-0000-000086000000}"/>
    <cellStyle name="60% - Accent2" xfId="44" xr:uid="{00000000-0005-0000-0000-000087000000}"/>
    <cellStyle name="60% - Accent3" xfId="45" xr:uid="{00000000-0005-0000-0000-000088000000}"/>
    <cellStyle name="60% - Accent4" xfId="46" xr:uid="{00000000-0005-0000-0000-000089000000}"/>
    <cellStyle name="60% - Accent5" xfId="47" xr:uid="{00000000-0005-0000-0000-00008A000000}"/>
    <cellStyle name="60% - Accent6" xfId="48" xr:uid="{00000000-0005-0000-0000-00008B000000}"/>
    <cellStyle name="Accent1" xfId="49" xr:uid="{00000000-0005-0000-0000-00008C000000}"/>
    <cellStyle name="Accent1 - 20%" xfId="479" xr:uid="{00000000-0005-0000-0000-00008D000000}"/>
    <cellStyle name="Accent1 - 40%" xfId="480" xr:uid="{00000000-0005-0000-0000-00008E000000}"/>
    <cellStyle name="Accent1 - 60%" xfId="481" xr:uid="{00000000-0005-0000-0000-00008F000000}"/>
    <cellStyle name="Accent2" xfId="50" xr:uid="{00000000-0005-0000-0000-000090000000}"/>
    <cellStyle name="Accent2 - 20%" xfId="482" xr:uid="{00000000-0005-0000-0000-000091000000}"/>
    <cellStyle name="Accent2 - 40%" xfId="483" xr:uid="{00000000-0005-0000-0000-000092000000}"/>
    <cellStyle name="Accent2 - 60%" xfId="484" xr:uid="{00000000-0005-0000-0000-000093000000}"/>
    <cellStyle name="Accent3" xfId="51" xr:uid="{00000000-0005-0000-0000-000094000000}"/>
    <cellStyle name="Accent3 - 20%" xfId="485" xr:uid="{00000000-0005-0000-0000-000095000000}"/>
    <cellStyle name="Accent3 - 40%" xfId="486" xr:uid="{00000000-0005-0000-0000-000096000000}"/>
    <cellStyle name="Accent3 - 60%" xfId="487" xr:uid="{00000000-0005-0000-0000-000097000000}"/>
    <cellStyle name="Accent4" xfId="52" xr:uid="{00000000-0005-0000-0000-000098000000}"/>
    <cellStyle name="Accent4 - 20%" xfId="488" xr:uid="{00000000-0005-0000-0000-000099000000}"/>
    <cellStyle name="Accent4 - 40%" xfId="489" xr:uid="{00000000-0005-0000-0000-00009A000000}"/>
    <cellStyle name="Accent4 - 60%" xfId="490" xr:uid="{00000000-0005-0000-0000-00009B000000}"/>
    <cellStyle name="Accent5" xfId="53" xr:uid="{00000000-0005-0000-0000-00009C000000}"/>
    <cellStyle name="Accent5 - 20%" xfId="491" xr:uid="{00000000-0005-0000-0000-00009D000000}"/>
    <cellStyle name="Accent5 - 40%" xfId="492" xr:uid="{00000000-0005-0000-0000-00009E000000}"/>
    <cellStyle name="Accent5 - 60%" xfId="493" xr:uid="{00000000-0005-0000-0000-00009F000000}"/>
    <cellStyle name="Accent6" xfId="54" xr:uid="{00000000-0005-0000-0000-0000A0000000}"/>
    <cellStyle name="Accent6 - 20%" xfId="494" xr:uid="{00000000-0005-0000-0000-0000A1000000}"/>
    <cellStyle name="Accent6 - 40%" xfId="495" xr:uid="{00000000-0005-0000-0000-0000A2000000}"/>
    <cellStyle name="Accent6 - 60%" xfId="496" xr:uid="{00000000-0005-0000-0000-0000A3000000}"/>
    <cellStyle name="Bad" xfId="55" xr:uid="{00000000-0005-0000-0000-0000A4000000}"/>
    <cellStyle name="Calculation" xfId="56" xr:uid="{00000000-0005-0000-0000-0000A5000000}"/>
    <cellStyle name="Calculation 2" xfId="57" xr:uid="{00000000-0005-0000-0000-0000A6000000}"/>
    <cellStyle name="Calculation 2 2" xfId="58" xr:uid="{00000000-0005-0000-0000-0000A7000000}"/>
    <cellStyle name="Calculation 2 2 2" xfId="796" xr:uid="{00000000-0005-0000-0000-0000A8000000}"/>
    <cellStyle name="Calculation 2 3" xfId="59" xr:uid="{00000000-0005-0000-0000-0000A9000000}"/>
    <cellStyle name="Calculation 2 3 2" xfId="775" xr:uid="{00000000-0005-0000-0000-0000AA000000}"/>
    <cellStyle name="Calculation 2 4" xfId="60" xr:uid="{00000000-0005-0000-0000-0000AB000000}"/>
    <cellStyle name="Calculation 2 4 2" xfId="790" xr:uid="{00000000-0005-0000-0000-0000AC000000}"/>
    <cellStyle name="Calculation 2 5" xfId="61" xr:uid="{00000000-0005-0000-0000-0000AD000000}"/>
    <cellStyle name="Calculation 2 5 2" xfId="865" xr:uid="{00000000-0005-0000-0000-0000AE000000}"/>
    <cellStyle name="Calculation 2 6" xfId="698" xr:uid="{00000000-0005-0000-0000-0000AF000000}"/>
    <cellStyle name="Calculation 3" xfId="62" xr:uid="{00000000-0005-0000-0000-0000B0000000}"/>
    <cellStyle name="Calculation 3 2" xfId="692" xr:uid="{00000000-0005-0000-0000-0000B1000000}"/>
    <cellStyle name="Calculation 4" xfId="684" xr:uid="{00000000-0005-0000-0000-0000B2000000}"/>
    <cellStyle name="Čiarka" xfId="2" builtinId="3"/>
    <cellStyle name="Čiarka 2" xfId="63" xr:uid="{00000000-0005-0000-0000-0000B4000000}"/>
    <cellStyle name="Čiarka 2 2" xfId="64" xr:uid="{00000000-0005-0000-0000-0000B5000000}"/>
    <cellStyle name="Čiarka 2 3" xfId="65" xr:uid="{00000000-0005-0000-0000-0000B6000000}"/>
    <cellStyle name="Čiarka 2 3 2" xfId="497" xr:uid="{00000000-0005-0000-0000-0000B7000000}"/>
    <cellStyle name="Čiarka 3" xfId="66" xr:uid="{00000000-0005-0000-0000-0000B8000000}"/>
    <cellStyle name="Čiarka 3 2" xfId="498" xr:uid="{00000000-0005-0000-0000-0000B9000000}"/>
    <cellStyle name="Čiarka 4" xfId="67" xr:uid="{00000000-0005-0000-0000-0000BA000000}"/>
    <cellStyle name="Čiarka 4 2" xfId="499" xr:uid="{00000000-0005-0000-0000-0000BB000000}"/>
    <cellStyle name="Čiarka 5" xfId="68" xr:uid="{00000000-0005-0000-0000-0000BC000000}"/>
    <cellStyle name="Čiarka 5 2" xfId="500" xr:uid="{00000000-0005-0000-0000-0000BD000000}"/>
    <cellStyle name="Čiarka 6" xfId="69" xr:uid="{00000000-0005-0000-0000-0000BE000000}"/>
    <cellStyle name="Čiarka 6 2" xfId="501" xr:uid="{00000000-0005-0000-0000-0000BF000000}"/>
    <cellStyle name="Čiarka 7" xfId="70" xr:uid="{00000000-0005-0000-0000-0000C0000000}"/>
    <cellStyle name="Čiarka 7 2" xfId="502" xr:uid="{00000000-0005-0000-0000-0000C1000000}"/>
    <cellStyle name="Čiarka 8" xfId="503" xr:uid="{00000000-0005-0000-0000-0000C2000000}"/>
    <cellStyle name="čiarky 2" xfId="71" xr:uid="{00000000-0005-0000-0000-0000C3000000}"/>
    <cellStyle name="čiarky 3" xfId="72" xr:uid="{00000000-0005-0000-0000-0000C4000000}"/>
    <cellStyle name="čiarky 3 2" xfId="73" xr:uid="{00000000-0005-0000-0000-0000C5000000}"/>
    <cellStyle name="čiarky 3 3" xfId="74" xr:uid="{00000000-0005-0000-0000-0000C6000000}"/>
    <cellStyle name="Data-vstup" xfId="75" xr:uid="{00000000-0005-0000-0000-0000C7000000}"/>
    <cellStyle name="Data-vstup 10" xfId="686" xr:uid="{00000000-0005-0000-0000-0000C8000000}"/>
    <cellStyle name="Data-vstup 2" xfId="76" xr:uid="{00000000-0005-0000-0000-0000C9000000}"/>
    <cellStyle name="Data-vstup 2 2" xfId="77" xr:uid="{00000000-0005-0000-0000-0000CA000000}"/>
    <cellStyle name="Data-vstup 2 2 2" xfId="504" xr:uid="{00000000-0005-0000-0000-0000CB000000}"/>
    <cellStyle name="Data-vstup 2 2 3" xfId="794" xr:uid="{00000000-0005-0000-0000-0000CC000000}"/>
    <cellStyle name="Data-vstup 2 3" xfId="78" xr:uid="{00000000-0005-0000-0000-0000CD000000}"/>
    <cellStyle name="Data-vstup 2 3 2" xfId="505" xr:uid="{00000000-0005-0000-0000-0000CE000000}"/>
    <cellStyle name="Data-vstup 2 3 3" xfId="797" xr:uid="{00000000-0005-0000-0000-0000CF000000}"/>
    <cellStyle name="Data-vstup 2 4" xfId="79" xr:uid="{00000000-0005-0000-0000-0000D0000000}"/>
    <cellStyle name="Data-vstup 2 4 2" xfId="506" xr:uid="{00000000-0005-0000-0000-0000D1000000}"/>
    <cellStyle name="Data-vstup 2 4 3" xfId="864" xr:uid="{00000000-0005-0000-0000-0000D2000000}"/>
    <cellStyle name="Data-vstup 2 5" xfId="507" xr:uid="{00000000-0005-0000-0000-0000D3000000}"/>
    <cellStyle name="Data-vstup 2 6" xfId="697" xr:uid="{00000000-0005-0000-0000-0000D4000000}"/>
    <cellStyle name="Data-vstup 3" xfId="80" xr:uid="{00000000-0005-0000-0000-0000D5000000}"/>
    <cellStyle name="Data-vstup 3 2" xfId="508" xr:uid="{00000000-0005-0000-0000-0000D6000000}"/>
    <cellStyle name="Data-vstup 3 3" xfId="693" xr:uid="{00000000-0005-0000-0000-0000D7000000}"/>
    <cellStyle name="Data-vstup 4" xfId="81" xr:uid="{00000000-0005-0000-0000-0000D8000000}"/>
    <cellStyle name="Data-vstup 4 2" xfId="509" xr:uid="{00000000-0005-0000-0000-0000D9000000}"/>
    <cellStyle name="Data-vstup 4 3" xfId="777" xr:uid="{00000000-0005-0000-0000-0000DA000000}"/>
    <cellStyle name="Data-vstup 5" xfId="82" xr:uid="{00000000-0005-0000-0000-0000DB000000}"/>
    <cellStyle name="Data-vstup 5 2" xfId="510" xr:uid="{00000000-0005-0000-0000-0000DC000000}"/>
    <cellStyle name="Data-vstup 5 3" xfId="743" xr:uid="{00000000-0005-0000-0000-0000DD000000}"/>
    <cellStyle name="Data-vstup 6" xfId="83" xr:uid="{00000000-0005-0000-0000-0000DE000000}"/>
    <cellStyle name="Data-vstup 6 2" xfId="511" xr:uid="{00000000-0005-0000-0000-0000DF000000}"/>
    <cellStyle name="Data-vstup 6 3" xfId="781" xr:uid="{00000000-0005-0000-0000-0000E0000000}"/>
    <cellStyle name="Data-vstup 7" xfId="84" xr:uid="{00000000-0005-0000-0000-0000E1000000}"/>
    <cellStyle name="Data-vstup 7 2" xfId="512" xr:uid="{00000000-0005-0000-0000-0000E2000000}"/>
    <cellStyle name="Data-vstup 7 3" xfId="772" xr:uid="{00000000-0005-0000-0000-0000E3000000}"/>
    <cellStyle name="Data-vstup 8" xfId="513" xr:uid="{00000000-0005-0000-0000-0000E4000000}"/>
    <cellStyle name="Data-vstup 8 2" xfId="514" xr:uid="{00000000-0005-0000-0000-0000E5000000}"/>
    <cellStyle name="Data-vstup 9" xfId="515" xr:uid="{00000000-0005-0000-0000-0000E6000000}"/>
    <cellStyle name="Dobrá" xfId="930" builtinId="26"/>
    <cellStyle name="Dobrá 2" xfId="689" xr:uid="{00000000-0005-0000-0000-0000E8000000}"/>
    <cellStyle name="Emphasis 1" xfId="516" xr:uid="{00000000-0005-0000-0000-0000E9000000}"/>
    <cellStyle name="Emphasis 2" xfId="517" xr:uid="{00000000-0005-0000-0000-0000EA000000}"/>
    <cellStyle name="Emphasis 3" xfId="518" xr:uid="{00000000-0005-0000-0000-0000EB000000}"/>
    <cellStyle name="Euro" xfId="519" xr:uid="{00000000-0005-0000-0000-0000EC000000}"/>
    <cellStyle name="Excel Built-in Normal" xfId="520" xr:uid="{00000000-0005-0000-0000-0000ED000000}"/>
    <cellStyle name="Explanatory Text" xfId="85" xr:uid="{00000000-0005-0000-0000-0000EE000000}"/>
    <cellStyle name="Good" xfId="86" xr:uid="{00000000-0005-0000-0000-0000EF000000}"/>
    <cellStyle name="Heading 1" xfId="87" xr:uid="{00000000-0005-0000-0000-0000F0000000}"/>
    <cellStyle name="Heading 2" xfId="88" xr:uid="{00000000-0005-0000-0000-0000F1000000}"/>
    <cellStyle name="Heading 3" xfId="89" xr:uid="{00000000-0005-0000-0000-0000F2000000}"/>
    <cellStyle name="Heading 4" xfId="90" xr:uid="{00000000-0005-0000-0000-0000F3000000}"/>
    <cellStyle name="Hlav-stlpcov" xfId="91" xr:uid="{00000000-0005-0000-0000-0000F4000000}"/>
    <cellStyle name="Hlav-stlpcov 2" xfId="92" xr:uid="{00000000-0005-0000-0000-0000F5000000}"/>
    <cellStyle name="Hypertextové prepojenie" xfId="4" builtinId="8"/>
    <cellStyle name="Hypertextové prepojenie 2" xfId="521" xr:uid="{00000000-0005-0000-0000-0000F7000000}"/>
    <cellStyle name="Hypertextové prepojenie 3" xfId="522" xr:uid="{00000000-0005-0000-0000-0000F8000000}"/>
    <cellStyle name="Check Cell" xfId="93" xr:uid="{00000000-0005-0000-0000-0000F9000000}"/>
    <cellStyle name="Input" xfId="94" xr:uid="{00000000-0005-0000-0000-0000FA000000}"/>
    <cellStyle name="Input 2" xfId="95" xr:uid="{00000000-0005-0000-0000-0000FB000000}"/>
    <cellStyle name="Input 2 2" xfId="96" xr:uid="{00000000-0005-0000-0000-0000FC000000}"/>
    <cellStyle name="Input 2 2 2" xfId="819" xr:uid="{00000000-0005-0000-0000-0000FD000000}"/>
    <cellStyle name="Input 2 3" xfId="97" xr:uid="{00000000-0005-0000-0000-0000FE000000}"/>
    <cellStyle name="Input 2 3 2" xfId="768" xr:uid="{00000000-0005-0000-0000-0000FF000000}"/>
    <cellStyle name="Input 2 4" xfId="98" xr:uid="{00000000-0005-0000-0000-000000010000}"/>
    <cellStyle name="Input 2 4 2" xfId="760" xr:uid="{00000000-0005-0000-0000-000001010000}"/>
    <cellStyle name="Input 2 5" xfId="99" xr:uid="{00000000-0005-0000-0000-000002010000}"/>
    <cellStyle name="Input 2 5 2" xfId="791" xr:uid="{00000000-0005-0000-0000-000003010000}"/>
    <cellStyle name="Input 2 6" xfId="699" xr:uid="{00000000-0005-0000-0000-000004010000}"/>
    <cellStyle name="Input 3" xfId="100" xr:uid="{00000000-0005-0000-0000-000005010000}"/>
    <cellStyle name="Input 3 2" xfId="694" xr:uid="{00000000-0005-0000-0000-000006010000}"/>
    <cellStyle name="Input 4" xfId="685" xr:uid="{00000000-0005-0000-0000-000007010000}"/>
    <cellStyle name="KT-stlpec" xfId="101" xr:uid="{00000000-0005-0000-0000-000008010000}"/>
    <cellStyle name="KT-stlpec 2" xfId="102" xr:uid="{00000000-0005-0000-0000-000009010000}"/>
    <cellStyle name="KT-stlpec 3" xfId="103" xr:uid="{00000000-0005-0000-0000-00000A010000}"/>
    <cellStyle name="KT-stlpec 3 2" xfId="523" xr:uid="{00000000-0005-0000-0000-00000B010000}"/>
    <cellStyle name="KT-stlpec 3 2 2" xfId="524" xr:uid="{00000000-0005-0000-0000-00000C010000}"/>
    <cellStyle name="KT-stlpec 3 3" xfId="754" xr:uid="{00000000-0005-0000-0000-00000D010000}"/>
    <cellStyle name="KT-stlpec 4" xfId="104" xr:uid="{00000000-0005-0000-0000-00000E010000}"/>
    <cellStyle name="KT-stlpec 4 2" xfId="525" xr:uid="{00000000-0005-0000-0000-00000F010000}"/>
    <cellStyle name="KT-stlpec 4 2 2" xfId="526" xr:uid="{00000000-0005-0000-0000-000010010000}"/>
    <cellStyle name="KT-stlpec 4 3" xfId="739" xr:uid="{00000000-0005-0000-0000-000011010000}"/>
    <cellStyle name="KT-stlpec 5" xfId="105" xr:uid="{00000000-0005-0000-0000-000012010000}"/>
    <cellStyle name="KT-stlpec 5 2" xfId="527" xr:uid="{00000000-0005-0000-0000-000013010000}"/>
    <cellStyle name="KT-stlpec 5 2 2" xfId="528" xr:uid="{00000000-0005-0000-0000-000014010000}"/>
    <cellStyle name="KT-stlpec 5 3" xfId="747" xr:uid="{00000000-0005-0000-0000-000015010000}"/>
    <cellStyle name="KT-stlpec 6" xfId="106" xr:uid="{00000000-0005-0000-0000-000016010000}"/>
    <cellStyle name="KT-stlpec 6 2" xfId="529" xr:uid="{00000000-0005-0000-0000-000017010000}"/>
    <cellStyle name="KT-stlpec 6 2 2" xfId="530" xr:uid="{00000000-0005-0000-0000-000018010000}"/>
    <cellStyle name="KT-stlpec 6 3" xfId="741" xr:uid="{00000000-0005-0000-0000-000019010000}"/>
    <cellStyle name="KT-sučet" xfId="107" xr:uid="{00000000-0005-0000-0000-00001A010000}"/>
    <cellStyle name="KT-sučet 2" xfId="108" xr:uid="{00000000-0005-0000-0000-00001B010000}"/>
    <cellStyle name="Linked Cell" xfId="109" xr:uid="{00000000-0005-0000-0000-00001C010000}"/>
    <cellStyle name="Mena" xfId="3" builtinId="4"/>
    <cellStyle name="Mena 2" xfId="110" xr:uid="{00000000-0005-0000-0000-00001E010000}"/>
    <cellStyle name="Mena 3" xfId="111" xr:uid="{00000000-0005-0000-0000-00001F010000}"/>
    <cellStyle name="Neutral" xfId="112" xr:uid="{00000000-0005-0000-0000-000020010000}"/>
    <cellStyle name="Normal_1 Prir.vedy" xfId="113" xr:uid="{00000000-0005-0000-0000-000021010000}"/>
    <cellStyle name="Normálna" xfId="0" builtinId="0"/>
    <cellStyle name="Normálna 10" xfId="114" xr:uid="{00000000-0005-0000-0000-000023010000}"/>
    <cellStyle name="Normálna 10 5" xfId="931" xr:uid="{00000000-0005-0000-0000-000024010000}"/>
    <cellStyle name="Normálna 11" xfId="5" xr:uid="{00000000-0005-0000-0000-000025010000}"/>
    <cellStyle name="Normálna 12" xfId="115" xr:uid="{00000000-0005-0000-0000-000026010000}"/>
    <cellStyle name="Normálna 12 2" xfId="531" xr:uid="{00000000-0005-0000-0000-000027010000}"/>
    <cellStyle name="Normálna 12 2 2" xfId="532" xr:uid="{00000000-0005-0000-0000-000028010000}"/>
    <cellStyle name="Normálna 13" xfId="116" xr:uid="{00000000-0005-0000-0000-000029010000}"/>
    <cellStyle name="Normálna 13 2" xfId="533" xr:uid="{00000000-0005-0000-0000-00002A010000}"/>
    <cellStyle name="Normálna 14" xfId="117" xr:uid="{00000000-0005-0000-0000-00002B010000}"/>
    <cellStyle name="Normálna 14 2" xfId="534" xr:uid="{00000000-0005-0000-0000-00002C010000}"/>
    <cellStyle name="Normálna 15" xfId="535" xr:uid="{00000000-0005-0000-0000-00002D010000}"/>
    <cellStyle name="Normálna 16" xfId="536" xr:uid="{00000000-0005-0000-0000-00002E010000}"/>
    <cellStyle name="Normálna 17" xfId="537" xr:uid="{00000000-0005-0000-0000-00002F010000}"/>
    <cellStyle name="Normálna 18" xfId="538" xr:uid="{00000000-0005-0000-0000-000030010000}"/>
    <cellStyle name="Normálna 19" xfId="539" xr:uid="{00000000-0005-0000-0000-000031010000}"/>
    <cellStyle name="Normálna 2" xfId="118" xr:uid="{00000000-0005-0000-0000-000032010000}"/>
    <cellStyle name="Normálna 2 2" xfId="119" xr:uid="{00000000-0005-0000-0000-000033010000}"/>
    <cellStyle name="Normálna 2 2 2" xfId="120" xr:uid="{00000000-0005-0000-0000-000034010000}"/>
    <cellStyle name="Normálna 2 2 2 2" xfId="121" xr:uid="{00000000-0005-0000-0000-000035010000}"/>
    <cellStyle name="Normálna 2 2 3" xfId="122" xr:uid="{00000000-0005-0000-0000-000036010000}"/>
    <cellStyle name="Normálna 2 2 3 2" xfId="123" xr:uid="{00000000-0005-0000-0000-000037010000}"/>
    <cellStyle name="Normálna 2 2 4" xfId="124" xr:uid="{00000000-0005-0000-0000-000038010000}"/>
    <cellStyle name="Normálna 2 3" xfId="125" xr:uid="{00000000-0005-0000-0000-000039010000}"/>
    <cellStyle name="Normálna 2 4" xfId="126" xr:uid="{00000000-0005-0000-0000-00003A010000}"/>
    <cellStyle name="Normálna 2 5" xfId="127" xr:uid="{00000000-0005-0000-0000-00003B010000}"/>
    <cellStyle name="Normálna 20" xfId="540" xr:uid="{00000000-0005-0000-0000-00003C010000}"/>
    <cellStyle name="Normálna 3" xfId="128" xr:uid="{00000000-0005-0000-0000-00003D010000}"/>
    <cellStyle name="Normálna 3 2" xfId="129" xr:uid="{00000000-0005-0000-0000-00003E010000}"/>
    <cellStyle name="Normálna 4" xfId="130" xr:uid="{00000000-0005-0000-0000-00003F010000}"/>
    <cellStyle name="Normálna 4 2" xfId="131" xr:uid="{00000000-0005-0000-0000-000040010000}"/>
    <cellStyle name="Normálna 4 3" xfId="132" xr:uid="{00000000-0005-0000-0000-000041010000}"/>
    <cellStyle name="Normálna 5" xfId="133" xr:uid="{00000000-0005-0000-0000-000042010000}"/>
    <cellStyle name="Normálna 5 2" xfId="134" xr:uid="{00000000-0005-0000-0000-000043010000}"/>
    <cellStyle name="Normálna 5 2 2" xfId="135" xr:uid="{00000000-0005-0000-0000-000044010000}"/>
    <cellStyle name="Normálna 5 3" xfId="136" xr:uid="{00000000-0005-0000-0000-000045010000}"/>
    <cellStyle name="Normálna 6" xfId="137" xr:uid="{00000000-0005-0000-0000-000046010000}"/>
    <cellStyle name="Normálna 7" xfId="138" xr:uid="{00000000-0005-0000-0000-000047010000}"/>
    <cellStyle name="Normálna 7 2" xfId="139" xr:uid="{00000000-0005-0000-0000-000048010000}"/>
    <cellStyle name="Normálna 8" xfId="140" xr:uid="{00000000-0005-0000-0000-000049010000}"/>
    <cellStyle name="Normálna 8 2" xfId="541" xr:uid="{00000000-0005-0000-0000-00004A010000}"/>
    <cellStyle name="Normálna 9" xfId="141" xr:uid="{00000000-0005-0000-0000-00004B010000}"/>
    <cellStyle name="normálne 10" xfId="542" xr:uid="{00000000-0005-0000-0000-00004C010000}"/>
    <cellStyle name="normálne 11" xfId="543" xr:uid="{00000000-0005-0000-0000-00004D010000}"/>
    <cellStyle name="normálne 11 2" xfId="544" xr:uid="{00000000-0005-0000-0000-00004E010000}"/>
    <cellStyle name="normálne 11 3" xfId="545" xr:uid="{00000000-0005-0000-0000-00004F010000}"/>
    <cellStyle name="normálne 12" xfId="546" xr:uid="{00000000-0005-0000-0000-000050010000}"/>
    <cellStyle name="normálne 2" xfId="142" xr:uid="{00000000-0005-0000-0000-000051010000}"/>
    <cellStyle name="normálne 2 2" xfId="143" xr:uid="{00000000-0005-0000-0000-000052010000}"/>
    <cellStyle name="normálne 2 2 2" xfId="144" xr:uid="{00000000-0005-0000-0000-000053010000}"/>
    <cellStyle name="normálne 2 2 2 2" xfId="547" xr:uid="{00000000-0005-0000-0000-000054010000}"/>
    <cellStyle name="normálne 2 2 3" xfId="145" xr:uid="{00000000-0005-0000-0000-000055010000}"/>
    <cellStyle name="normálne 2 3" xfId="146" xr:uid="{00000000-0005-0000-0000-000056010000}"/>
    <cellStyle name="normálne 2 3 2" xfId="548" xr:uid="{00000000-0005-0000-0000-000057010000}"/>
    <cellStyle name="normálne 2 4" xfId="549" xr:uid="{00000000-0005-0000-0000-000058010000}"/>
    <cellStyle name="normálne 2 4 2" xfId="550" xr:uid="{00000000-0005-0000-0000-000059010000}"/>
    <cellStyle name="normálne 2 5" xfId="551" xr:uid="{00000000-0005-0000-0000-00005A010000}"/>
    <cellStyle name="normálne 2 5 2" xfId="552" xr:uid="{00000000-0005-0000-0000-00005B010000}"/>
    <cellStyle name="normálne 2 6" xfId="553" xr:uid="{00000000-0005-0000-0000-00005C010000}"/>
    <cellStyle name="normálne 2 7" xfId="554" xr:uid="{00000000-0005-0000-0000-00005D010000}"/>
    <cellStyle name="normálne 2 8" xfId="555" xr:uid="{00000000-0005-0000-0000-00005E010000}"/>
    <cellStyle name="normálne 22" xfId="556" xr:uid="{00000000-0005-0000-0000-00005F010000}"/>
    <cellStyle name="normálne 24" xfId="557" xr:uid="{00000000-0005-0000-0000-000060010000}"/>
    <cellStyle name="normálne 3" xfId="147" xr:uid="{00000000-0005-0000-0000-000061010000}"/>
    <cellStyle name="normálne 3 2" xfId="148" xr:uid="{00000000-0005-0000-0000-000062010000}"/>
    <cellStyle name="normálne 3 3" xfId="149" xr:uid="{00000000-0005-0000-0000-000063010000}"/>
    <cellStyle name="normálne 3 4" xfId="558" xr:uid="{00000000-0005-0000-0000-000064010000}"/>
    <cellStyle name="normálne 35" xfId="559" xr:uid="{00000000-0005-0000-0000-000065010000}"/>
    <cellStyle name="normálne 4" xfId="150" xr:uid="{00000000-0005-0000-0000-000066010000}"/>
    <cellStyle name="normálne 4 2" xfId="151" xr:uid="{00000000-0005-0000-0000-000067010000}"/>
    <cellStyle name="normálne 4 3" xfId="152" xr:uid="{00000000-0005-0000-0000-000068010000}"/>
    <cellStyle name="normálne 5" xfId="153" xr:uid="{00000000-0005-0000-0000-000069010000}"/>
    <cellStyle name="normálne 5 2" xfId="560" xr:uid="{00000000-0005-0000-0000-00006A010000}"/>
    <cellStyle name="normálne 6" xfId="154" xr:uid="{00000000-0005-0000-0000-00006B010000}"/>
    <cellStyle name="normálne 6 2" xfId="155" xr:uid="{00000000-0005-0000-0000-00006C010000}"/>
    <cellStyle name="normálne 6 2 2" xfId="156" xr:uid="{00000000-0005-0000-0000-00006D010000}"/>
    <cellStyle name="normálne 6 2 2 2" xfId="157" xr:uid="{00000000-0005-0000-0000-00006E010000}"/>
    <cellStyle name="normálne 6 2 3" xfId="158" xr:uid="{00000000-0005-0000-0000-00006F010000}"/>
    <cellStyle name="normálne 6 3" xfId="159" xr:uid="{00000000-0005-0000-0000-000070010000}"/>
    <cellStyle name="normálne 7" xfId="561" xr:uid="{00000000-0005-0000-0000-000071010000}"/>
    <cellStyle name="normálne 7 2" xfId="562" xr:uid="{00000000-0005-0000-0000-000072010000}"/>
    <cellStyle name="normálne 8" xfId="563" xr:uid="{00000000-0005-0000-0000-000073010000}"/>
    <cellStyle name="normálne 8 2" xfId="564" xr:uid="{00000000-0005-0000-0000-000074010000}"/>
    <cellStyle name="normálne 9" xfId="565" xr:uid="{00000000-0005-0000-0000-000075010000}"/>
    <cellStyle name="normálne 9 2" xfId="566" xr:uid="{00000000-0005-0000-0000-000076010000}"/>
    <cellStyle name="normálne_Databazy_VVŠ_2006_ severská" xfId="160" xr:uid="{00000000-0005-0000-0000-000077010000}"/>
    <cellStyle name="normální 2" xfId="161" xr:uid="{00000000-0005-0000-0000-000078010000}"/>
    <cellStyle name="normální 2 2" xfId="162" xr:uid="{00000000-0005-0000-0000-000079010000}"/>
    <cellStyle name="normální_15.6.07 východ.+rozpočet 08-10" xfId="567" xr:uid="{00000000-0005-0000-0000-00007A010000}"/>
    <cellStyle name="Note" xfId="163" xr:uid="{00000000-0005-0000-0000-00007B010000}"/>
    <cellStyle name="Note 2" xfId="164" xr:uid="{00000000-0005-0000-0000-00007C010000}"/>
    <cellStyle name="Note 2 2" xfId="165" xr:uid="{00000000-0005-0000-0000-00007D010000}"/>
    <cellStyle name="Note 2 2 2" xfId="798" xr:uid="{00000000-0005-0000-0000-00007E010000}"/>
    <cellStyle name="Note 2 3" xfId="166" xr:uid="{00000000-0005-0000-0000-00007F010000}"/>
    <cellStyle name="Note 2 3 2" xfId="746" xr:uid="{00000000-0005-0000-0000-000080010000}"/>
    <cellStyle name="Note 2 4" xfId="700" xr:uid="{00000000-0005-0000-0000-000081010000}"/>
    <cellStyle name="Note 3" xfId="167" xr:uid="{00000000-0005-0000-0000-000082010000}"/>
    <cellStyle name="Note 3 2" xfId="695" xr:uid="{00000000-0005-0000-0000-000083010000}"/>
    <cellStyle name="Note 4" xfId="168" xr:uid="{00000000-0005-0000-0000-000084010000}"/>
    <cellStyle name="Note 4 2" xfId="762" xr:uid="{00000000-0005-0000-0000-000085010000}"/>
    <cellStyle name="Note 5" xfId="169" xr:uid="{00000000-0005-0000-0000-000086010000}"/>
    <cellStyle name="Note 5 2" xfId="780" xr:uid="{00000000-0005-0000-0000-000087010000}"/>
    <cellStyle name="Note 6" xfId="687" xr:uid="{00000000-0005-0000-0000-000088010000}"/>
    <cellStyle name="Output" xfId="170" xr:uid="{00000000-0005-0000-0000-000089010000}"/>
    <cellStyle name="Output 2" xfId="171" xr:uid="{00000000-0005-0000-0000-00008A010000}"/>
    <cellStyle name="Output 2 2" xfId="799" xr:uid="{00000000-0005-0000-0000-00008B010000}"/>
    <cellStyle name="Output 3" xfId="172" xr:uid="{00000000-0005-0000-0000-00008C010000}"/>
    <cellStyle name="Output 3 2" xfId="818" xr:uid="{00000000-0005-0000-0000-00008D010000}"/>
    <cellStyle name="Output 4" xfId="701" xr:uid="{00000000-0005-0000-0000-00008E010000}"/>
    <cellStyle name="Percentá" xfId="1" builtinId="5"/>
    <cellStyle name="Percentá 10" xfId="173" xr:uid="{00000000-0005-0000-0000-000090010000}"/>
    <cellStyle name="Percentá 11" xfId="174" xr:uid="{00000000-0005-0000-0000-000091010000}"/>
    <cellStyle name="Percentá 11 2" xfId="568" xr:uid="{00000000-0005-0000-0000-000092010000}"/>
    <cellStyle name="percentá 2" xfId="175" xr:uid="{00000000-0005-0000-0000-000093010000}"/>
    <cellStyle name="percentá 2 10" xfId="176" xr:uid="{00000000-0005-0000-0000-000094010000}"/>
    <cellStyle name="Percentá 2 2" xfId="177" xr:uid="{00000000-0005-0000-0000-000095010000}"/>
    <cellStyle name="percentá 2 2 2" xfId="178" xr:uid="{00000000-0005-0000-0000-000096010000}"/>
    <cellStyle name="percentá 2 3" xfId="179" xr:uid="{00000000-0005-0000-0000-000097010000}"/>
    <cellStyle name="percentá 2 4" xfId="180" xr:uid="{00000000-0005-0000-0000-000098010000}"/>
    <cellStyle name="percentá 2 5" xfId="181" xr:uid="{00000000-0005-0000-0000-000099010000}"/>
    <cellStyle name="percentá 2 6" xfId="182" xr:uid="{00000000-0005-0000-0000-00009A010000}"/>
    <cellStyle name="percentá 2 7" xfId="183" xr:uid="{00000000-0005-0000-0000-00009B010000}"/>
    <cellStyle name="percentá 2 8" xfId="184" xr:uid="{00000000-0005-0000-0000-00009C010000}"/>
    <cellStyle name="percentá 2 9" xfId="185" xr:uid="{00000000-0005-0000-0000-00009D010000}"/>
    <cellStyle name="percentá 3" xfId="186" xr:uid="{00000000-0005-0000-0000-00009E010000}"/>
    <cellStyle name="percentá 3 2" xfId="187" xr:uid="{00000000-0005-0000-0000-00009F010000}"/>
    <cellStyle name="Percentá 4" xfId="188" xr:uid="{00000000-0005-0000-0000-0000A0010000}"/>
    <cellStyle name="Percentá 4 2" xfId="189" xr:uid="{00000000-0005-0000-0000-0000A1010000}"/>
    <cellStyle name="Percentá 4 3" xfId="190" xr:uid="{00000000-0005-0000-0000-0000A2010000}"/>
    <cellStyle name="Percentá 5" xfId="191" xr:uid="{00000000-0005-0000-0000-0000A3010000}"/>
    <cellStyle name="Percentá 5 2" xfId="192" xr:uid="{00000000-0005-0000-0000-0000A4010000}"/>
    <cellStyle name="Percentá 5 3" xfId="193" xr:uid="{00000000-0005-0000-0000-0000A5010000}"/>
    <cellStyle name="Percentá 6" xfId="194" xr:uid="{00000000-0005-0000-0000-0000A6010000}"/>
    <cellStyle name="Percentá 7" xfId="195" xr:uid="{00000000-0005-0000-0000-0000A7010000}"/>
    <cellStyle name="Percentá 8" xfId="196" xr:uid="{00000000-0005-0000-0000-0000A8010000}"/>
    <cellStyle name="Percentá 9" xfId="197" xr:uid="{00000000-0005-0000-0000-0000A9010000}"/>
    <cellStyle name="Poznámka 2" xfId="569" xr:uid="{00000000-0005-0000-0000-0000AA010000}"/>
    <cellStyle name="Poznámka 2 2" xfId="570" xr:uid="{00000000-0005-0000-0000-0000AB010000}"/>
    <cellStyle name="Poznámka 2 2 2" xfId="571" xr:uid="{00000000-0005-0000-0000-0000AC010000}"/>
    <cellStyle name="Poznámka 2 3" xfId="572" xr:uid="{00000000-0005-0000-0000-0000AD010000}"/>
    <cellStyle name="Poznámka 3" xfId="573" xr:uid="{00000000-0005-0000-0000-0000AE010000}"/>
    <cellStyle name="Poznámka 4" xfId="574" xr:uid="{00000000-0005-0000-0000-0000AF010000}"/>
    <cellStyle name="Poznámka 4 2" xfId="575" xr:uid="{00000000-0005-0000-0000-0000B0010000}"/>
    <cellStyle name="Poznámka 5" xfId="576" xr:uid="{00000000-0005-0000-0000-0000B1010000}"/>
    <cellStyle name="Poznámka 6" xfId="577" xr:uid="{00000000-0005-0000-0000-0000B2010000}"/>
    <cellStyle name="Poznámka 6 2" xfId="578" xr:uid="{00000000-0005-0000-0000-0000B3010000}"/>
    <cellStyle name="Poznámka 7" xfId="579" xr:uid="{00000000-0005-0000-0000-0000B4010000}"/>
    <cellStyle name="procent 2" xfId="198" xr:uid="{00000000-0005-0000-0000-0000B5010000}"/>
    <cellStyle name="RD_pred_rokom" xfId="716" xr:uid="{00000000-0005-0000-0000-0000B6010000}"/>
    <cellStyle name="SAPBEXaggData" xfId="199" xr:uid="{00000000-0005-0000-0000-0000B7010000}"/>
    <cellStyle name="SAPBEXaggData 2" xfId="200" xr:uid="{00000000-0005-0000-0000-0000B8010000}"/>
    <cellStyle name="SAPBEXaggData 2 2" xfId="580" xr:uid="{00000000-0005-0000-0000-0000B9010000}"/>
    <cellStyle name="SAPBEXaggData 2 2 2" xfId="581" xr:uid="{00000000-0005-0000-0000-0000BA010000}"/>
    <cellStyle name="SAPBEXaggData 2 2 3" xfId="890" xr:uid="{00000000-0005-0000-0000-0000BB010000}"/>
    <cellStyle name="SAPBEXaggData 2 3" xfId="804" xr:uid="{00000000-0005-0000-0000-0000BC010000}"/>
    <cellStyle name="SAPBEXaggData 3" xfId="201" xr:uid="{00000000-0005-0000-0000-0000BD010000}"/>
    <cellStyle name="SAPBEXaggData 3 2" xfId="822" xr:uid="{00000000-0005-0000-0000-0000BE010000}"/>
    <cellStyle name="SAPBEXaggData 4" xfId="202" xr:uid="{00000000-0005-0000-0000-0000BF010000}"/>
    <cellStyle name="SAPBEXaggData 4 2" xfId="765" xr:uid="{00000000-0005-0000-0000-0000C0010000}"/>
    <cellStyle name="SAPBEXaggData 5" xfId="203" xr:uid="{00000000-0005-0000-0000-0000C1010000}"/>
    <cellStyle name="SAPBEXaggData 5 2" xfId="742" xr:uid="{00000000-0005-0000-0000-0000C2010000}"/>
    <cellStyle name="SAPBEXaggData 6" xfId="702" xr:uid="{00000000-0005-0000-0000-0000C3010000}"/>
    <cellStyle name="SAPBEXaggDataEmph" xfId="204" xr:uid="{00000000-0005-0000-0000-0000C4010000}"/>
    <cellStyle name="SAPBEXaggDataEmph 2" xfId="205" xr:uid="{00000000-0005-0000-0000-0000C5010000}"/>
    <cellStyle name="SAPBEXaggDataEmph 2 2" xfId="582" xr:uid="{00000000-0005-0000-0000-0000C6010000}"/>
    <cellStyle name="SAPBEXaggDataEmph 2 2 2" xfId="583" xr:uid="{00000000-0005-0000-0000-0000C7010000}"/>
    <cellStyle name="SAPBEXaggDataEmph 2 2 3" xfId="891" xr:uid="{00000000-0005-0000-0000-0000C8010000}"/>
    <cellStyle name="SAPBEXaggDataEmph 2 3" xfId="805" xr:uid="{00000000-0005-0000-0000-0000C9010000}"/>
    <cellStyle name="SAPBEXaggDataEmph 3" xfId="206" xr:uid="{00000000-0005-0000-0000-0000CA010000}"/>
    <cellStyle name="SAPBEXaggDataEmph 3 2" xfId="823" xr:uid="{00000000-0005-0000-0000-0000CB010000}"/>
    <cellStyle name="SAPBEXaggDataEmph 4" xfId="207" xr:uid="{00000000-0005-0000-0000-0000CC010000}"/>
    <cellStyle name="SAPBEXaggDataEmph 4 2" xfId="779" xr:uid="{00000000-0005-0000-0000-0000CD010000}"/>
    <cellStyle name="SAPBEXaggDataEmph 5" xfId="208" xr:uid="{00000000-0005-0000-0000-0000CE010000}"/>
    <cellStyle name="SAPBEXaggDataEmph 5 2" xfId="786" xr:uid="{00000000-0005-0000-0000-0000CF010000}"/>
    <cellStyle name="SAPBEXaggDataEmph 6" xfId="703" xr:uid="{00000000-0005-0000-0000-0000D0010000}"/>
    <cellStyle name="SAPBEXaggItem" xfId="209" xr:uid="{00000000-0005-0000-0000-0000D1010000}"/>
    <cellStyle name="SAPBEXaggItem 2" xfId="210" xr:uid="{00000000-0005-0000-0000-0000D2010000}"/>
    <cellStyle name="SAPBEXaggItem 2 2" xfId="584" xr:uid="{00000000-0005-0000-0000-0000D3010000}"/>
    <cellStyle name="SAPBEXaggItem 2 2 2" xfId="585" xr:uid="{00000000-0005-0000-0000-0000D4010000}"/>
    <cellStyle name="SAPBEXaggItem 2 2 3" xfId="892" xr:uid="{00000000-0005-0000-0000-0000D5010000}"/>
    <cellStyle name="SAPBEXaggItem 2 3" xfId="806" xr:uid="{00000000-0005-0000-0000-0000D6010000}"/>
    <cellStyle name="SAPBEXaggItem 3" xfId="211" xr:uid="{00000000-0005-0000-0000-0000D7010000}"/>
    <cellStyle name="SAPBEXaggItem 3 2" xfId="824" xr:uid="{00000000-0005-0000-0000-0000D8010000}"/>
    <cellStyle name="SAPBEXaggItem 4" xfId="212" xr:uid="{00000000-0005-0000-0000-0000D9010000}"/>
    <cellStyle name="SAPBEXaggItem 4 2" xfId="789" xr:uid="{00000000-0005-0000-0000-0000DA010000}"/>
    <cellStyle name="SAPBEXaggItem 5" xfId="213" xr:uid="{00000000-0005-0000-0000-0000DB010000}"/>
    <cellStyle name="SAPBEXaggItem 5 2" xfId="773" xr:uid="{00000000-0005-0000-0000-0000DC010000}"/>
    <cellStyle name="SAPBEXaggItem 6" xfId="704" xr:uid="{00000000-0005-0000-0000-0000DD010000}"/>
    <cellStyle name="SAPBEXaggItemX" xfId="214" xr:uid="{00000000-0005-0000-0000-0000DE010000}"/>
    <cellStyle name="SAPBEXaggItemX 2" xfId="215" xr:uid="{00000000-0005-0000-0000-0000DF010000}"/>
    <cellStyle name="SAPBEXaggItemX 2 2" xfId="807" xr:uid="{00000000-0005-0000-0000-0000E0010000}"/>
    <cellStyle name="SAPBEXaggItemX 3" xfId="216" xr:uid="{00000000-0005-0000-0000-0000E1010000}"/>
    <cellStyle name="SAPBEXaggItemX 3 2" xfId="825" xr:uid="{00000000-0005-0000-0000-0000E2010000}"/>
    <cellStyle name="SAPBEXaggItemX 4" xfId="217" xr:uid="{00000000-0005-0000-0000-0000E3010000}"/>
    <cellStyle name="SAPBEXaggItemX 4 2" xfId="821" xr:uid="{00000000-0005-0000-0000-0000E4010000}"/>
    <cellStyle name="SAPBEXaggItemX 5" xfId="218" xr:uid="{00000000-0005-0000-0000-0000E5010000}"/>
    <cellStyle name="SAPBEXaggItemX 5 2" xfId="866" xr:uid="{00000000-0005-0000-0000-0000E6010000}"/>
    <cellStyle name="SAPBEXaggItemX 6" xfId="705" xr:uid="{00000000-0005-0000-0000-0000E7010000}"/>
    <cellStyle name="SAPBEXexcBad7" xfId="219" xr:uid="{00000000-0005-0000-0000-0000E8010000}"/>
    <cellStyle name="SAPBEXexcBad7 2" xfId="220" xr:uid="{00000000-0005-0000-0000-0000E9010000}"/>
    <cellStyle name="SAPBEXexcBad7 2 2" xfId="586" xr:uid="{00000000-0005-0000-0000-0000EA010000}"/>
    <cellStyle name="SAPBEXexcBad7 2 2 2" xfId="587" xr:uid="{00000000-0005-0000-0000-0000EB010000}"/>
    <cellStyle name="SAPBEXexcBad7 2 2 3" xfId="893" xr:uid="{00000000-0005-0000-0000-0000EC010000}"/>
    <cellStyle name="SAPBEXexcBad7 2 3" xfId="808" xr:uid="{00000000-0005-0000-0000-0000ED010000}"/>
    <cellStyle name="SAPBEXexcBad7 3" xfId="221" xr:uid="{00000000-0005-0000-0000-0000EE010000}"/>
    <cellStyle name="SAPBEXexcBad7 3 2" xfId="826" xr:uid="{00000000-0005-0000-0000-0000EF010000}"/>
    <cellStyle name="SAPBEXexcBad7 4" xfId="222" xr:uid="{00000000-0005-0000-0000-0000F0010000}"/>
    <cellStyle name="SAPBEXexcBad7 4 2" xfId="766" xr:uid="{00000000-0005-0000-0000-0000F1010000}"/>
    <cellStyle name="SAPBEXexcBad7 5" xfId="223" xr:uid="{00000000-0005-0000-0000-0000F2010000}"/>
    <cellStyle name="SAPBEXexcBad7 5 2" xfId="782" xr:uid="{00000000-0005-0000-0000-0000F3010000}"/>
    <cellStyle name="SAPBEXexcBad7 6" xfId="706" xr:uid="{00000000-0005-0000-0000-0000F4010000}"/>
    <cellStyle name="SAPBEXexcBad8" xfId="224" xr:uid="{00000000-0005-0000-0000-0000F5010000}"/>
    <cellStyle name="SAPBEXexcBad8 2" xfId="225" xr:uid="{00000000-0005-0000-0000-0000F6010000}"/>
    <cellStyle name="SAPBEXexcBad8 2 2" xfId="588" xr:uid="{00000000-0005-0000-0000-0000F7010000}"/>
    <cellStyle name="SAPBEXexcBad8 2 2 2" xfId="589" xr:uid="{00000000-0005-0000-0000-0000F8010000}"/>
    <cellStyle name="SAPBEXexcBad8 2 2 3" xfId="894" xr:uid="{00000000-0005-0000-0000-0000F9010000}"/>
    <cellStyle name="SAPBEXexcBad8 2 3" xfId="749" xr:uid="{00000000-0005-0000-0000-0000FA010000}"/>
    <cellStyle name="SAPBEXexcBad8 3" xfId="226" xr:uid="{00000000-0005-0000-0000-0000FB010000}"/>
    <cellStyle name="SAPBEXexcBad8 3 2" xfId="827" xr:uid="{00000000-0005-0000-0000-0000FC010000}"/>
    <cellStyle name="SAPBEXexcBad8 4" xfId="227" xr:uid="{00000000-0005-0000-0000-0000FD010000}"/>
    <cellStyle name="SAPBEXexcBad8 4 2" xfId="736" xr:uid="{00000000-0005-0000-0000-0000FE010000}"/>
    <cellStyle name="SAPBEXexcBad8 5" xfId="228" xr:uid="{00000000-0005-0000-0000-0000FF010000}"/>
    <cellStyle name="SAPBEXexcBad8 5 2" xfId="740" xr:uid="{00000000-0005-0000-0000-000000020000}"/>
    <cellStyle name="SAPBEXexcBad8 6" xfId="707" xr:uid="{00000000-0005-0000-0000-000001020000}"/>
    <cellStyle name="SAPBEXexcBad9" xfId="229" xr:uid="{00000000-0005-0000-0000-000002020000}"/>
    <cellStyle name="SAPBEXexcBad9 2" xfId="230" xr:uid="{00000000-0005-0000-0000-000003020000}"/>
    <cellStyle name="SAPBEXexcBad9 2 2" xfId="750" xr:uid="{00000000-0005-0000-0000-000004020000}"/>
    <cellStyle name="SAPBEXexcBad9 3" xfId="231" xr:uid="{00000000-0005-0000-0000-000005020000}"/>
    <cellStyle name="SAPBEXexcBad9 3 2" xfId="828" xr:uid="{00000000-0005-0000-0000-000006020000}"/>
    <cellStyle name="SAPBEXexcBad9 4" xfId="232" xr:uid="{00000000-0005-0000-0000-000007020000}"/>
    <cellStyle name="SAPBEXexcBad9 4 2" xfId="783" xr:uid="{00000000-0005-0000-0000-000008020000}"/>
    <cellStyle name="SAPBEXexcBad9 5" xfId="233" xr:uid="{00000000-0005-0000-0000-000009020000}"/>
    <cellStyle name="SAPBEXexcBad9 5 2" xfId="867" xr:uid="{00000000-0005-0000-0000-00000A020000}"/>
    <cellStyle name="SAPBEXexcBad9 6" xfId="708" xr:uid="{00000000-0005-0000-0000-00000B020000}"/>
    <cellStyle name="SAPBEXexcCritical4" xfId="234" xr:uid="{00000000-0005-0000-0000-00000C020000}"/>
    <cellStyle name="SAPBEXexcCritical4 2" xfId="235" xr:uid="{00000000-0005-0000-0000-00000D020000}"/>
    <cellStyle name="SAPBEXexcCritical4 2 2" xfId="590" xr:uid="{00000000-0005-0000-0000-00000E020000}"/>
    <cellStyle name="SAPBEXexcCritical4 2 2 2" xfId="591" xr:uid="{00000000-0005-0000-0000-00000F020000}"/>
    <cellStyle name="SAPBEXexcCritical4 2 2 3" xfId="895" xr:uid="{00000000-0005-0000-0000-000010020000}"/>
    <cellStyle name="SAPBEXexcCritical4 2 3" xfId="809" xr:uid="{00000000-0005-0000-0000-000011020000}"/>
    <cellStyle name="SAPBEXexcCritical4 3" xfId="236" xr:uid="{00000000-0005-0000-0000-000012020000}"/>
    <cellStyle name="SAPBEXexcCritical4 3 2" xfId="829" xr:uid="{00000000-0005-0000-0000-000013020000}"/>
    <cellStyle name="SAPBEXexcCritical4 4" xfId="237" xr:uid="{00000000-0005-0000-0000-000014020000}"/>
    <cellStyle name="SAPBEXexcCritical4 4 2" xfId="738" xr:uid="{00000000-0005-0000-0000-000015020000}"/>
    <cellStyle name="SAPBEXexcCritical4 5" xfId="238" xr:uid="{00000000-0005-0000-0000-000016020000}"/>
    <cellStyle name="SAPBEXexcCritical4 5 2" xfId="767" xr:uid="{00000000-0005-0000-0000-000017020000}"/>
    <cellStyle name="SAPBEXexcCritical4 6" xfId="709" xr:uid="{00000000-0005-0000-0000-000018020000}"/>
    <cellStyle name="SAPBEXexcCritical5" xfId="239" xr:uid="{00000000-0005-0000-0000-000019020000}"/>
    <cellStyle name="SAPBEXexcCritical5 2" xfId="240" xr:uid="{00000000-0005-0000-0000-00001A020000}"/>
    <cellStyle name="SAPBEXexcCritical5 2 2" xfId="592" xr:uid="{00000000-0005-0000-0000-00001B020000}"/>
    <cellStyle name="SAPBEXexcCritical5 2 2 2" xfId="593" xr:uid="{00000000-0005-0000-0000-00001C020000}"/>
    <cellStyle name="SAPBEXexcCritical5 2 2 3" xfId="896" xr:uid="{00000000-0005-0000-0000-00001D020000}"/>
    <cellStyle name="SAPBEXexcCritical5 2 3" xfId="751" xr:uid="{00000000-0005-0000-0000-00001E020000}"/>
    <cellStyle name="SAPBEXexcCritical5 3" xfId="241" xr:uid="{00000000-0005-0000-0000-00001F020000}"/>
    <cellStyle name="SAPBEXexcCritical5 3 2" xfId="830" xr:uid="{00000000-0005-0000-0000-000020020000}"/>
    <cellStyle name="SAPBEXexcCritical5 4" xfId="242" xr:uid="{00000000-0005-0000-0000-000021020000}"/>
    <cellStyle name="SAPBEXexcCritical5 4 2" xfId="811" xr:uid="{00000000-0005-0000-0000-000022020000}"/>
    <cellStyle name="SAPBEXexcCritical5 5" xfId="243" xr:uid="{00000000-0005-0000-0000-000023020000}"/>
    <cellStyle name="SAPBEXexcCritical5 5 2" xfId="748" xr:uid="{00000000-0005-0000-0000-000024020000}"/>
    <cellStyle name="SAPBEXexcCritical5 6" xfId="710" xr:uid="{00000000-0005-0000-0000-000025020000}"/>
    <cellStyle name="SAPBEXexcCritical6" xfId="244" xr:uid="{00000000-0005-0000-0000-000026020000}"/>
    <cellStyle name="SAPBEXexcCritical6 2" xfId="245" xr:uid="{00000000-0005-0000-0000-000027020000}"/>
    <cellStyle name="SAPBEXexcCritical6 2 2" xfId="594" xr:uid="{00000000-0005-0000-0000-000028020000}"/>
    <cellStyle name="SAPBEXexcCritical6 2 2 2" xfId="595" xr:uid="{00000000-0005-0000-0000-000029020000}"/>
    <cellStyle name="SAPBEXexcCritical6 2 2 3" xfId="897" xr:uid="{00000000-0005-0000-0000-00002A020000}"/>
    <cellStyle name="SAPBEXexcCritical6 2 3" xfId="752" xr:uid="{00000000-0005-0000-0000-00002B020000}"/>
    <cellStyle name="SAPBEXexcCritical6 3" xfId="246" xr:uid="{00000000-0005-0000-0000-00002C020000}"/>
    <cellStyle name="SAPBEXexcCritical6 3 2" xfId="831" xr:uid="{00000000-0005-0000-0000-00002D020000}"/>
    <cellStyle name="SAPBEXexcCritical6 4" xfId="247" xr:uid="{00000000-0005-0000-0000-00002E020000}"/>
    <cellStyle name="SAPBEXexcCritical6 4 2" xfId="795" xr:uid="{00000000-0005-0000-0000-00002F020000}"/>
    <cellStyle name="SAPBEXexcCritical6 5" xfId="248" xr:uid="{00000000-0005-0000-0000-000030020000}"/>
    <cellStyle name="SAPBEXexcCritical6 5 2" xfId="863" xr:uid="{00000000-0005-0000-0000-000031020000}"/>
    <cellStyle name="SAPBEXexcCritical6 6" xfId="711" xr:uid="{00000000-0005-0000-0000-000032020000}"/>
    <cellStyle name="SAPBEXexcGood1" xfId="249" xr:uid="{00000000-0005-0000-0000-000033020000}"/>
    <cellStyle name="SAPBEXexcGood1 2" xfId="250" xr:uid="{00000000-0005-0000-0000-000034020000}"/>
    <cellStyle name="SAPBEXexcGood1 2 2" xfId="596" xr:uid="{00000000-0005-0000-0000-000035020000}"/>
    <cellStyle name="SAPBEXexcGood1 2 2 2" xfId="597" xr:uid="{00000000-0005-0000-0000-000036020000}"/>
    <cellStyle name="SAPBEXexcGood1 2 2 3" xfId="898" xr:uid="{00000000-0005-0000-0000-000037020000}"/>
    <cellStyle name="SAPBEXexcGood1 2 3" xfId="810" xr:uid="{00000000-0005-0000-0000-000038020000}"/>
    <cellStyle name="SAPBEXexcGood1 3" xfId="251" xr:uid="{00000000-0005-0000-0000-000039020000}"/>
    <cellStyle name="SAPBEXexcGood1 3 2" xfId="832" xr:uid="{00000000-0005-0000-0000-00003A020000}"/>
    <cellStyle name="SAPBEXexcGood1 4" xfId="252" xr:uid="{00000000-0005-0000-0000-00003B020000}"/>
    <cellStyle name="SAPBEXexcGood1 4 2" xfId="835" xr:uid="{00000000-0005-0000-0000-00003C020000}"/>
    <cellStyle name="SAPBEXexcGood1 5" xfId="253" xr:uid="{00000000-0005-0000-0000-00003D020000}"/>
    <cellStyle name="SAPBEXexcGood1 5 2" xfId="868" xr:uid="{00000000-0005-0000-0000-00003E020000}"/>
    <cellStyle name="SAPBEXexcGood1 6" xfId="712" xr:uid="{00000000-0005-0000-0000-00003F020000}"/>
    <cellStyle name="SAPBEXexcGood2" xfId="254" xr:uid="{00000000-0005-0000-0000-000040020000}"/>
    <cellStyle name="SAPBEXexcGood2 2" xfId="255" xr:uid="{00000000-0005-0000-0000-000041020000}"/>
    <cellStyle name="SAPBEXexcGood2 2 2" xfId="598" xr:uid="{00000000-0005-0000-0000-000042020000}"/>
    <cellStyle name="SAPBEXexcGood2 2 2 2" xfId="599" xr:uid="{00000000-0005-0000-0000-000043020000}"/>
    <cellStyle name="SAPBEXexcGood2 2 2 3" xfId="899" xr:uid="{00000000-0005-0000-0000-000044020000}"/>
    <cellStyle name="SAPBEXexcGood2 2 3" xfId="753" xr:uid="{00000000-0005-0000-0000-000045020000}"/>
    <cellStyle name="SAPBEXexcGood2 3" xfId="256" xr:uid="{00000000-0005-0000-0000-000046020000}"/>
    <cellStyle name="SAPBEXexcGood2 3 2" xfId="833" xr:uid="{00000000-0005-0000-0000-000047020000}"/>
    <cellStyle name="SAPBEXexcGood2 4" xfId="257" xr:uid="{00000000-0005-0000-0000-000048020000}"/>
    <cellStyle name="SAPBEXexcGood2 4 2" xfId="776" xr:uid="{00000000-0005-0000-0000-000049020000}"/>
    <cellStyle name="SAPBEXexcGood2 5" xfId="258" xr:uid="{00000000-0005-0000-0000-00004A020000}"/>
    <cellStyle name="SAPBEXexcGood2 5 2" xfId="869" xr:uid="{00000000-0005-0000-0000-00004B020000}"/>
    <cellStyle name="SAPBEXexcGood2 6" xfId="713" xr:uid="{00000000-0005-0000-0000-00004C020000}"/>
    <cellStyle name="SAPBEXexcGood3" xfId="259" xr:uid="{00000000-0005-0000-0000-00004D020000}"/>
    <cellStyle name="SAPBEXexcGood3 2" xfId="260" xr:uid="{00000000-0005-0000-0000-00004E020000}"/>
    <cellStyle name="SAPBEXexcGood3 2 2" xfId="600" xr:uid="{00000000-0005-0000-0000-00004F020000}"/>
    <cellStyle name="SAPBEXexcGood3 2 2 2" xfId="601" xr:uid="{00000000-0005-0000-0000-000050020000}"/>
    <cellStyle name="SAPBEXexcGood3 2 2 3" xfId="900" xr:uid="{00000000-0005-0000-0000-000051020000}"/>
    <cellStyle name="SAPBEXexcGood3 2 3" xfId="784" xr:uid="{00000000-0005-0000-0000-000052020000}"/>
    <cellStyle name="SAPBEXexcGood3 3" xfId="261" xr:uid="{00000000-0005-0000-0000-000053020000}"/>
    <cellStyle name="SAPBEXexcGood3 3 2" xfId="834" xr:uid="{00000000-0005-0000-0000-000054020000}"/>
    <cellStyle name="SAPBEXexcGood3 4" xfId="262" xr:uid="{00000000-0005-0000-0000-000055020000}"/>
    <cellStyle name="SAPBEXexcGood3 4 2" xfId="793" xr:uid="{00000000-0005-0000-0000-000056020000}"/>
    <cellStyle name="SAPBEXexcGood3 5" xfId="263" xr:uid="{00000000-0005-0000-0000-000057020000}"/>
    <cellStyle name="SAPBEXexcGood3 5 2" xfId="870" xr:uid="{00000000-0005-0000-0000-000058020000}"/>
    <cellStyle name="SAPBEXexcGood3 6" xfId="714" xr:uid="{00000000-0005-0000-0000-000059020000}"/>
    <cellStyle name="SAPBEXfilterDrill" xfId="264" xr:uid="{00000000-0005-0000-0000-00005A020000}"/>
    <cellStyle name="SAPBEXfilterDrill 2" xfId="602" xr:uid="{00000000-0005-0000-0000-00005B020000}"/>
    <cellStyle name="SAPBEXfilterDrill 2 2" xfId="901" xr:uid="{00000000-0005-0000-0000-00005C020000}"/>
    <cellStyle name="SAPBEXfilterItem" xfId="265" xr:uid="{00000000-0005-0000-0000-00005D020000}"/>
    <cellStyle name="SAPBEXfilterItem 2" xfId="603" xr:uid="{00000000-0005-0000-0000-00005E020000}"/>
    <cellStyle name="SAPBEXfilterItem 2 2" xfId="604" xr:uid="{00000000-0005-0000-0000-00005F020000}"/>
    <cellStyle name="SAPBEXfilterItem 2 2 2" xfId="605" xr:uid="{00000000-0005-0000-0000-000060020000}"/>
    <cellStyle name="SAPBEXfilterItem 2 2 3" xfId="903" xr:uid="{00000000-0005-0000-0000-000061020000}"/>
    <cellStyle name="SAPBEXfilterItem 2 3" xfId="606" xr:uid="{00000000-0005-0000-0000-000062020000}"/>
    <cellStyle name="SAPBEXfilterItem 2 4" xfId="902" xr:uid="{00000000-0005-0000-0000-000063020000}"/>
    <cellStyle name="SAPBEXfilterText" xfId="266" xr:uid="{00000000-0005-0000-0000-000064020000}"/>
    <cellStyle name="SAPBEXfilterText 2" xfId="607" xr:uid="{00000000-0005-0000-0000-000065020000}"/>
    <cellStyle name="SAPBEXfilterText 2 2" xfId="904" xr:uid="{00000000-0005-0000-0000-000066020000}"/>
    <cellStyle name="SAPBEXformats" xfId="267" xr:uid="{00000000-0005-0000-0000-000067020000}"/>
    <cellStyle name="SAPBEXformats 2" xfId="268" xr:uid="{00000000-0005-0000-0000-000068020000}"/>
    <cellStyle name="SAPBEXformats 2 2" xfId="608" xr:uid="{00000000-0005-0000-0000-000069020000}"/>
    <cellStyle name="SAPBEXformats 2 2 2" xfId="609" xr:uid="{00000000-0005-0000-0000-00006A020000}"/>
    <cellStyle name="SAPBEXformats 2 2 3" xfId="905" xr:uid="{00000000-0005-0000-0000-00006B020000}"/>
    <cellStyle name="SAPBEXformats 2 3" xfId="812" xr:uid="{00000000-0005-0000-0000-00006C020000}"/>
    <cellStyle name="SAPBEXformats 3" xfId="269" xr:uid="{00000000-0005-0000-0000-00006D020000}"/>
    <cellStyle name="SAPBEXformats 3 2" xfId="837" xr:uid="{00000000-0005-0000-0000-00006E020000}"/>
    <cellStyle name="SAPBEXformats 4" xfId="270" xr:uid="{00000000-0005-0000-0000-00006F020000}"/>
    <cellStyle name="SAPBEXformats 4 2" xfId="836" xr:uid="{00000000-0005-0000-0000-000070020000}"/>
    <cellStyle name="SAPBEXformats 5" xfId="271" xr:uid="{00000000-0005-0000-0000-000071020000}"/>
    <cellStyle name="SAPBEXformats 5 2" xfId="871" xr:uid="{00000000-0005-0000-0000-000072020000}"/>
    <cellStyle name="SAPBEXformats 6" xfId="715" xr:uid="{00000000-0005-0000-0000-000073020000}"/>
    <cellStyle name="SAPBEXheaderItem" xfId="272" xr:uid="{00000000-0005-0000-0000-000074020000}"/>
    <cellStyle name="SAPBEXheaderItem 10" xfId="610" xr:uid="{00000000-0005-0000-0000-000075020000}"/>
    <cellStyle name="SAPBEXheaderItem 11" xfId="611" xr:uid="{00000000-0005-0000-0000-000076020000}"/>
    <cellStyle name="SAPBEXheaderItem 12" xfId="612" xr:uid="{00000000-0005-0000-0000-000077020000}"/>
    <cellStyle name="SAPBEXheaderItem 2" xfId="613" xr:uid="{00000000-0005-0000-0000-000078020000}"/>
    <cellStyle name="SAPBEXheaderItem 3" xfId="614" xr:uid="{00000000-0005-0000-0000-000079020000}"/>
    <cellStyle name="SAPBEXheaderItem 3 2" xfId="615" xr:uid="{00000000-0005-0000-0000-00007A020000}"/>
    <cellStyle name="SAPBEXheaderItem 4" xfId="616" xr:uid="{00000000-0005-0000-0000-00007B020000}"/>
    <cellStyle name="SAPBEXheaderItem 4 2" xfId="617" xr:uid="{00000000-0005-0000-0000-00007C020000}"/>
    <cellStyle name="SAPBEXheaderItem 5" xfId="618" xr:uid="{00000000-0005-0000-0000-00007D020000}"/>
    <cellStyle name="SAPBEXheaderItem 6" xfId="619" xr:uid="{00000000-0005-0000-0000-00007E020000}"/>
    <cellStyle name="SAPBEXheaderItem 7" xfId="620" xr:uid="{00000000-0005-0000-0000-00007F020000}"/>
    <cellStyle name="SAPBEXheaderItem 8" xfId="621" xr:uid="{00000000-0005-0000-0000-000080020000}"/>
    <cellStyle name="SAPBEXheaderItem 9" xfId="622" xr:uid="{00000000-0005-0000-0000-000081020000}"/>
    <cellStyle name="SAPBEXheaderText" xfId="273" xr:uid="{00000000-0005-0000-0000-000082020000}"/>
    <cellStyle name="SAPBEXheaderText 10" xfId="623" xr:uid="{00000000-0005-0000-0000-000083020000}"/>
    <cellStyle name="SAPBEXheaderText 11" xfId="624" xr:uid="{00000000-0005-0000-0000-000084020000}"/>
    <cellStyle name="SAPBEXheaderText 12" xfId="625" xr:uid="{00000000-0005-0000-0000-000085020000}"/>
    <cellStyle name="SAPBEXheaderText 2" xfId="626" xr:uid="{00000000-0005-0000-0000-000086020000}"/>
    <cellStyle name="SAPBEXheaderText 3" xfId="627" xr:uid="{00000000-0005-0000-0000-000087020000}"/>
    <cellStyle name="SAPBEXheaderText 3 2" xfId="628" xr:uid="{00000000-0005-0000-0000-000088020000}"/>
    <cellStyle name="SAPBEXheaderText 4" xfId="629" xr:uid="{00000000-0005-0000-0000-000089020000}"/>
    <cellStyle name="SAPBEXheaderText 4 2" xfId="630" xr:uid="{00000000-0005-0000-0000-00008A020000}"/>
    <cellStyle name="SAPBEXheaderText 5" xfId="631" xr:uid="{00000000-0005-0000-0000-00008B020000}"/>
    <cellStyle name="SAPBEXheaderText 6" xfId="632" xr:uid="{00000000-0005-0000-0000-00008C020000}"/>
    <cellStyle name="SAPBEXheaderText 7" xfId="633" xr:uid="{00000000-0005-0000-0000-00008D020000}"/>
    <cellStyle name="SAPBEXheaderText 8" xfId="634" xr:uid="{00000000-0005-0000-0000-00008E020000}"/>
    <cellStyle name="SAPBEXheaderText 9" xfId="635" xr:uid="{00000000-0005-0000-0000-00008F020000}"/>
    <cellStyle name="SAPBEXHLevel0" xfId="274" xr:uid="{00000000-0005-0000-0000-000090020000}"/>
    <cellStyle name="SAPBEXHLevel0 2" xfId="275" xr:uid="{00000000-0005-0000-0000-000091020000}"/>
    <cellStyle name="SAPBEXHLevel0 2 2" xfId="813" xr:uid="{00000000-0005-0000-0000-000092020000}"/>
    <cellStyle name="SAPBEXHLevel0 3" xfId="276" xr:uid="{00000000-0005-0000-0000-000093020000}"/>
    <cellStyle name="SAPBEXHLevel0 3 2" xfId="636" xr:uid="{00000000-0005-0000-0000-000094020000}"/>
    <cellStyle name="SAPBEXHLevel0 3 2 2" xfId="637" xr:uid="{00000000-0005-0000-0000-000095020000}"/>
    <cellStyle name="SAPBEXHLevel0 3 2 3" xfId="906" xr:uid="{00000000-0005-0000-0000-000096020000}"/>
    <cellStyle name="SAPBEXHLevel0 3 3" xfId="840" xr:uid="{00000000-0005-0000-0000-000097020000}"/>
    <cellStyle name="SAPBEXHLevel0 4" xfId="277" xr:uid="{00000000-0005-0000-0000-000098020000}"/>
    <cellStyle name="SAPBEXHLevel0 4 2" xfId="838" xr:uid="{00000000-0005-0000-0000-000099020000}"/>
    <cellStyle name="SAPBEXHLevel0 5" xfId="278" xr:uid="{00000000-0005-0000-0000-00009A020000}"/>
    <cellStyle name="SAPBEXHLevel0 5 2" xfId="872" xr:uid="{00000000-0005-0000-0000-00009B020000}"/>
    <cellStyle name="SAPBEXHLevel0 6" xfId="717" xr:uid="{00000000-0005-0000-0000-00009C020000}"/>
    <cellStyle name="SAPBEXHLevel0X" xfId="279" xr:uid="{00000000-0005-0000-0000-00009D020000}"/>
    <cellStyle name="SAPBEXHLevel0X 2" xfId="280" xr:uid="{00000000-0005-0000-0000-00009E020000}"/>
    <cellStyle name="SAPBEXHLevel0X 2 2" xfId="691" xr:uid="{00000000-0005-0000-0000-00009F020000}"/>
    <cellStyle name="SAPBEXHLevel0X 3" xfId="281" xr:uid="{00000000-0005-0000-0000-0000A0020000}"/>
    <cellStyle name="SAPBEXHLevel0X 3 2" xfId="841" xr:uid="{00000000-0005-0000-0000-0000A1020000}"/>
    <cellStyle name="SAPBEXHLevel0X 4" xfId="282" xr:uid="{00000000-0005-0000-0000-0000A2020000}"/>
    <cellStyle name="SAPBEXHLevel0X 4 2" xfId="638" xr:uid="{00000000-0005-0000-0000-0000A3020000}"/>
    <cellStyle name="SAPBEXHLevel0X 4 2 2" xfId="907" xr:uid="{00000000-0005-0000-0000-0000A4020000}"/>
    <cellStyle name="SAPBEXHLevel0X 4 3" xfId="803" xr:uid="{00000000-0005-0000-0000-0000A5020000}"/>
    <cellStyle name="SAPBEXHLevel0X 5" xfId="283" xr:uid="{00000000-0005-0000-0000-0000A6020000}"/>
    <cellStyle name="SAPBEXHLevel0X 5 2" xfId="873" xr:uid="{00000000-0005-0000-0000-0000A7020000}"/>
    <cellStyle name="SAPBEXHLevel0X 6" xfId="639" xr:uid="{00000000-0005-0000-0000-0000A8020000}"/>
    <cellStyle name="SAPBEXHLevel0X 6 2" xfId="908" xr:uid="{00000000-0005-0000-0000-0000A9020000}"/>
    <cellStyle name="SAPBEXHLevel0X 7" xfId="718" xr:uid="{00000000-0005-0000-0000-0000AA020000}"/>
    <cellStyle name="SAPBEXHLevel1" xfId="284" xr:uid="{00000000-0005-0000-0000-0000AB020000}"/>
    <cellStyle name="SAPBEXHLevel1 2" xfId="285" xr:uid="{00000000-0005-0000-0000-0000AC020000}"/>
    <cellStyle name="SAPBEXHLevel1 2 2" xfId="690" xr:uid="{00000000-0005-0000-0000-0000AD020000}"/>
    <cellStyle name="SAPBEXHLevel1 3" xfId="286" xr:uid="{00000000-0005-0000-0000-0000AE020000}"/>
    <cellStyle name="SAPBEXHLevel1 3 2" xfId="640" xr:uid="{00000000-0005-0000-0000-0000AF020000}"/>
    <cellStyle name="SAPBEXHLevel1 3 2 2" xfId="641" xr:uid="{00000000-0005-0000-0000-0000B0020000}"/>
    <cellStyle name="SAPBEXHLevel1 3 2 3" xfId="909" xr:uid="{00000000-0005-0000-0000-0000B1020000}"/>
    <cellStyle name="SAPBEXHLevel1 3 3" xfId="842" xr:uid="{00000000-0005-0000-0000-0000B2020000}"/>
    <cellStyle name="SAPBEXHLevel1 4" xfId="287" xr:uid="{00000000-0005-0000-0000-0000B3020000}"/>
    <cellStyle name="SAPBEXHLevel1 4 2" xfId="792" xr:uid="{00000000-0005-0000-0000-0000B4020000}"/>
    <cellStyle name="SAPBEXHLevel1 5" xfId="288" xr:uid="{00000000-0005-0000-0000-0000B5020000}"/>
    <cellStyle name="SAPBEXHLevel1 5 2" xfId="874" xr:uid="{00000000-0005-0000-0000-0000B6020000}"/>
    <cellStyle name="SAPBEXHLevel1 6" xfId="719" xr:uid="{00000000-0005-0000-0000-0000B7020000}"/>
    <cellStyle name="SAPBEXHLevel1X" xfId="289" xr:uid="{00000000-0005-0000-0000-0000B8020000}"/>
    <cellStyle name="SAPBEXHLevel1X 2" xfId="290" xr:uid="{00000000-0005-0000-0000-0000B9020000}"/>
    <cellStyle name="SAPBEXHLevel1X 2 2" xfId="814" xr:uid="{00000000-0005-0000-0000-0000BA020000}"/>
    <cellStyle name="SAPBEXHLevel1X 3" xfId="291" xr:uid="{00000000-0005-0000-0000-0000BB020000}"/>
    <cellStyle name="SAPBEXHLevel1X 3 2" xfId="843" xr:uid="{00000000-0005-0000-0000-0000BC020000}"/>
    <cellStyle name="SAPBEXHLevel1X 4" xfId="292" xr:uid="{00000000-0005-0000-0000-0000BD020000}"/>
    <cellStyle name="SAPBEXHLevel1X 4 2" xfId="642" xr:uid="{00000000-0005-0000-0000-0000BE020000}"/>
    <cellStyle name="SAPBEXHLevel1X 4 2 2" xfId="910" xr:uid="{00000000-0005-0000-0000-0000BF020000}"/>
    <cellStyle name="SAPBEXHLevel1X 4 3" xfId="839" xr:uid="{00000000-0005-0000-0000-0000C0020000}"/>
    <cellStyle name="SAPBEXHLevel1X 5" xfId="293" xr:uid="{00000000-0005-0000-0000-0000C1020000}"/>
    <cellStyle name="SAPBEXHLevel1X 5 2" xfId="875" xr:uid="{00000000-0005-0000-0000-0000C2020000}"/>
    <cellStyle name="SAPBEXHLevel1X 6" xfId="643" xr:uid="{00000000-0005-0000-0000-0000C3020000}"/>
    <cellStyle name="SAPBEXHLevel1X 6 2" xfId="911" xr:uid="{00000000-0005-0000-0000-0000C4020000}"/>
    <cellStyle name="SAPBEXHLevel1X 7" xfId="720" xr:uid="{00000000-0005-0000-0000-0000C5020000}"/>
    <cellStyle name="SAPBEXHLevel2" xfId="294" xr:uid="{00000000-0005-0000-0000-0000C6020000}"/>
    <cellStyle name="SAPBEXHLevel2 2" xfId="295" xr:uid="{00000000-0005-0000-0000-0000C7020000}"/>
    <cellStyle name="SAPBEXHLevel2 2 2" xfId="755" xr:uid="{00000000-0005-0000-0000-0000C8020000}"/>
    <cellStyle name="SAPBEXHLevel2 3" xfId="296" xr:uid="{00000000-0005-0000-0000-0000C9020000}"/>
    <cellStyle name="SAPBEXHLevel2 3 2" xfId="644" xr:uid="{00000000-0005-0000-0000-0000CA020000}"/>
    <cellStyle name="SAPBEXHLevel2 3 2 2" xfId="645" xr:uid="{00000000-0005-0000-0000-0000CB020000}"/>
    <cellStyle name="SAPBEXHLevel2 3 2 3" xfId="912" xr:uid="{00000000-0005-0000-0000-0000CC020000}"/>
    <cellStyle name="SAPBEXHLevel2 3 3" xfId="844" xr:uid="{00000000-0005-0000-0000-0000CD020000}"/>
    <cellStyle name="SAPBEXHLevel2 4" xfId="297" xr:uid="{00000000-0005-0000-0000-0000CE020000}"/>
    <cellStyle name="SAPBEXHLevel2 4 2" xfId="802" xr:uid="{00000000-0005-0000-0000-0000CF020000}"/>
    <cellStyle name="SAPBEXHLevel2 5" xfId="298" xr:uid="{00000000-0005-0000-0000-0000D0020000}"/>
    <cellStyle name="SAPBEXHLevel2 5 2" xfId="876" xr:uid="{00000000-0005-0000-0000-0000D1020000}"/>
    <cellStyle name="SAPBEXHLevel2 6" xfId="721" xr:uid="{00000000-0005-0000-0000-0000D2020000}"/>
    <cellStyle name="SAPBEXHLevel2X" xfId="299" xr:uid="{00000000-0005-0000-0000-0000D3020000}"/>
    <cellStyle name="SAPBEXHLevel2X 2" xfId="300" xr:uid="{00000000-0005-0000-0000-0000D4020000}"/>
    <cellStyle name="SAPBEXHLevel2X 2 2" xfId="756" xr:uid="{00000000-0005-0000-0000-0000D5020000}"/>
    <cellStyle name="SAPBEXHLevel2X 3" xfId="301" xr:uid="{00000000-0005-0000-0000-0000D6020000}"/>
    <cellStyle name="SAPBEXHLevel2X 3 2" xfId="845" xr:uid="{00000000-0005-0000-0000-0000D7020000}"/>
    <cellStyle name="SAPBEXHLevel2X 4" xfId="302" xr:uid="{00000000-0005-0000-0000-0000D8020000}"/>
    <cellStyle name="SAPBEXHLevel2X 4 2" xfId="646" xr:uid="{00000000-0005-0000-0000-0000D9020000}"/>
    <cellStyle name="SAPBEXHLevel2X 4 2 2" xfId="913" xr:uid="{00000000-0005-0000-0000-0000DA020000}"/>
    <cellStyle name="SAPBEXHLevel2X 4 3" xfId="764" xr:uid="{00000000-0005-0000-0000-0000DB020000}"/>
    <cellStyle name="SAPBEXHLevel2X 5" xfId="303" xr:uid="{00000000-0005-0000-0000-0000DC020000}"/>
    <cellStyle name="SAPBEXHLevel2X 5 2" xfId="877" xr:uid="{00000000-0005-0000-0000-0000DD020000}"/>
    <cellStyle name="SAPBEXHLevel2X 6" xfId="647" xr:uid="{00000000-0005-0000-0000-0000DE020000}"/>
    <cellStyle name="SAPBEXHLevel2X 6 2" xfId="914" xr:uid="{00000000-0005-0000-0000-0000DF020000}"/>
    <cellStyle name="SAPBEXHLevel2X 7" xfId="722" xr:uid="{00000000-0005-0000-0000-0000E0020000}"/>
    <cellStyle name="SAPBEXHLevel3" xfId="304" xr:uid="{00000000-0005-0000-0000-0000E1020000}"/>
    <cellStyle name="SAPBEXHLevel3 2" xfId="305" xr:uid="{00000000-0005-0000-0000-0000E2020000}"/>
    <cellStyle name="SAPBEXHLevel3 2 2" xfId="815" xr:uid="{00000000-0005-0000-0000-0000E3020000}"/>
    <cellStyle name="SAPBEXHLevel3 3" xfId="306" xr:uid="{00000000-0005-0000-0000-0000E4020000}"/>
    <cellStyle name="SAPBEXHLevel3 3 2" xfId="648" xr:uid="{00000000-0005-0000-0000-0000E5020000}"/>
    <cellStyle name="SAPBEXHLevel3 3 2 2" xfId="649" xr:uid="{00000000-0005-0000-0000-0000E6020000}"/>
    <cellStyle name="SAPBEXHLevel3 3 2 3" xfId="915" xr:uid="{00000000-0005-0000-0000-0000E7020000}"/>
    <cellStyle name="SAPBEXHLevel3 3 3" xfId="846" xr:uid="{00000000-0005-0000-0000-0000E8020000}"/>
    <cellStyle name="SAPBEXHLevel3 4" xfId="307" xr:uid="{00000000-0005-0000-0000-0000E9020000}"/>
    <cellStyle name="SAPBEXHLevel3 4 2" xfId="848" xr:uid="{00000000-0005-0000-0000-0000EA020000}"/>
    <cellStyle name="SAPBEXHLevel3 5" xfId="308" xr:uid="{00000000-0005-0000-0000-0000EB020000}"/>
    <cellStyle name="SAPBEXHLevel3 5 2" xfId="878" xr:uid="{00000000-0005-0000-0000-0000EC020000}"/>
    <cellStyle name="SAPBEXHLevel3 6" xfId="723" xr:uid="{00000000-0005-0000-0000-0000ED020000}"/>
    <cellStyle name="SAPBEXHLevel3X" xfId="309" xr:uid="{00000000-0005-0000-0000-0000EE020000}"/>
    <cellStyle name="SAPBEXHLevel3X 2" xfId="310" xr:uid="{00000000-0005-0000-0000-0000EF020000}"/>
    <cellStyle name="SAPBEXHLevel3X 2 2" xfId="757" xr:uid="{00000000-0005-0000-0000-0000F0020000}"/>
    <cellStyle name="SAPBEXHLevel3X 3" xfId="311" xr:uid="{00000000-0005-0000-0000-0000F1020000}"/>
    <cellStyle name="SAPBEXHLevel3X 3 2" xfId="847" xr:uid="{00000000-0005-0000-0000-0000F2020000}"/>
    <cellStyle name="SAPBEXHLevel3X 4" xfId="312" xr:uid="{00000000-0005-0000-0000-0000F3020000}"/>
    <cellStyle name="SAPBEXHLevel3X 4 2" xfId="650" xr:uid="{00000000-0005-0000-0000-0000F4020000}"/>
    <cellStyle name="SAPBEXHLevel3X 4 2 2" xfId="916" xr:uid="{00000000-0005-0000-0000-0000F5020000}"/>
    <cellStyle name="SAPBEXHLevel3X 4 3" xfId="763" xr:uid="{00000000-0005-0000-0000-0000F6020000}"/>
    <cellStyle name="SAPBEXHLevel3X 5" xfId="313" xr:uid="{00000000-0005-0000-0000-0000F7020000}"/>
    <cellStyle name="SAPBEXHLevel3X 5 2" xfId="879" xr:uid="{00000000-0005-0000-0000-0000F8020000}"/>
    <cellStyle name="SAPBEXHLevel3X 6" xfId="651" xr:uid="{00000000-0005-0000-0000-0000F9020000}"/>
    <cellStyle name="SAPBEXHLevel3X 6 2" xfId="917" xr:uid="{00000000-0005-0000-0000-0000FA020000}"/>
    <cellStyle name="SAPBEXHLevel3X 7" xfId="724" xr:uid="{00000000-0005-0000-0000-0000FB020000}"/>
    <cellStyle name="SAPBEXchaText" xfId="314" xr:uid="{00000000-0005-0000-0000-0000FC020000}"/>
    <cellStyle name="SAPBEXchaText 2" xfId="652" xr:uid="{00000000-0005-0000-0000-0000FD020000}"/>
    <cellStyle name="SAPBEXchaText 2 2" xfId="653" xr:uid="{00000000-0005-0000-0000-0000FE020000}"/>
    <cellStyle name="SAPBEXchaText 2 2 2" xfId="654" xr:uid="{00000000-0005-0000-0000-0000FF020000}"/>
    <cellStyle name="SAPBEXchaText 2 2 3" xfId="919" xr:uid="{00000000-0005-0000-0000-000000030000}"/>
    <cellStyle name="SAPBEXchaText 2 3" xfId="655" xr:uid="{00000000-0005-0000-0000-000001030000}"/>
    <cellStyle name="SAPBEXchaText 2 4" xfId="918" xr:uid="{00000000-0005-0000-0000-000002030000}"/>
    <cellStyle name="SAPBEXinputData" xfId="656" xr:uid="{00000000-0005-0000-0000-000003030000}"/>
    <cellStyle name="SAPBEXinputData 2" xfId="657" xr:uid="{00000000-0005-0000-0000-000004030000}"/>
    <cellStyle name="SAPBEXinputData 2 2" xfId="658" xr:uid="{00000000-0005-0000-0000-000005030000}"/>
    <cellStyle name="SAPBEXinputData 2 2 2" xfId="922" xr:uid="{00000000-0005-0000-0000-000006030000}"/>
    <cellStyle name="SAPBEXinputData 2 3" xfId="921" xr:uid="{00000000-0005-0000-0000-000007030000}"/>
    <cellStyle name="SAPBEXinputData 3" xfId="659" xr:uid="{00000000-0005-0000-0000-000008030000}"/>
    <cellStyle name="SAPBEXinputData 3 2" xfId="923" xr:uid="{00000000-0005-0000-0000-000009030000}"/>
    <cellStyle name="SAPBEXinputData 4" xfId="660" xr:uid="{00000000-0005-0000-0000-00000A030000}"/>
    <cellStyle name="SAPBEXinputData 4 2" xfId="924" xr:uid="{00000000-0005-0000-0000-00000B030000}"/>
    <cellStyle name="SAPBEXinputData 5" xfId="920" xr:uid="{00000000-0005-0000-0000-00000C030000}"/>
    <cellStyle name="SAPBEXItemHeader" xfId="661" xr:uid="{00000000-0005-0000-0000-00000D030000}"/>
    <cellStyle name="SAPBEXItemHeader 2" xfId="925" xr:uid="{00000000-0005-0000-0000-00000E030000}"/>
    <cellStyle name="SAPBEXresData" xfId="315" xr:uid="{00000000-0005-0000-0000-00000F030000}"/>
    <cellStyle name="SAPBEXresData 2" xfId="316" xr:uid="{00000000-0005-0000-0000-000010030000}"/>
    <cellStyle name="SAPBEXresData 2 2" xfId="769" xr:uid="{00000000-0005-0000-0000-000011030000}"/>
    <cellStyle name="SAPBEXresData 3" xfId="317" xr:uid="{00000000-0005-0000-0000-000012030000}"/>
    <cellStyle name="SAPBEXresData 3 2" xfId="849" xr:uid="{00000000-0005-0000-0000-000013030000}"/>
    <cellStyle name="SAPBEXresData 4" xfId="318" xr:uid="{00000000-0005-0000-0000-000014030000}"/>
    <cellStyle name="SAPBEXresData 4 2" xfId="857" xr:uid="{00000000-0005-0000-0000-000015030000}"/>
    <cellStyle name="SAPBEXresData 5" xfId="319" xr:uid="{00000000-0005-0000-0000-000016030000}"/>
    <cellStyle name="SAPBEXresData 5 2" xfId="880" xr:uid="{00000000-0005-0000-0000-000017030000}"/>
    <cellStyle name="SAPBEXresData 6" xfId="725" xr:uid="{00000000-0005-0000-0000-000018030000}"/>
    <cellStyle name="SAPBEXresDataEmph" xfId="320" xr:uid="{00000000-0005-0000-0000-000019030000}"/>
    <cellStyle name="SAPBEXresDataEmph 2" xfId="321" xr:uid="{00000000-0005-0000-0000-00001A030000}"/>
    <cellStyle name="SAPBEXresDataEmph 2 2" xfId="787" xr:uid="{00000000-0005-0000-0000-00001B030000}"/>
    <cellStyle name="SAPBEXresDataEmph 3" xfId="322" xr:uid="{00000000-0005-0000-0000-00001C030000}"/>
    <cellStyle name="SAPBEXresDataEmph 3 2" xfId="850" xr:uid="{00000000-0005-0000-0000-00001D030000}"/>
    <cellStyle name="SAPBEXresDataEmph 4" xfId="323" xr:uid="{00000000-0005-0000-0000-00001E030000}"/>
    <cellStyle name="SAPBEXresDataEmph 4 2" xfId="801" xr:uid="{00000000-0005-0000-0000-00001F030000}"/>
    <cellStyle name="SAPBEXresDataEmph 5" xfId="324" xr:uid="{00000000-0005-0000-0000-000020030000}"/>
    <cellStyle name="SAPBEXresDataEmph 5 2" xfId="881" xr:uid="{00000000-0005-0000-0000-000021030000}"/>
    <cellStyle name="SAPBEXresDataEmph 6" xfId="726" xr:uid="{00000000-0005-0000-0000-000022030000}"/>
    <cellStyle name="SAPBEXresItem" xfId="325" xr:uid="{00000000-0005-0000-0000-000023030000}"/>
    <cellStyle name="SAPBEXresItem 2" xfId="326" xr:uid="{00000000-0005-0000-0000-000024030000}"/>
    <cellStyle name="SAPBEXresItem 2 2" xfId="785" xr:uid="{00000000-0005-0000-0000-000025030000}"/>
    <cellStyle name="SAPBEXresItem 3" xfId="327" xr:uid="{00000000-0005-0000-0000-000026030000}"/>
    <cellStyle name="SAPBEXresItem 3 2" xfId="851" xr:uid="{00000000-0005-0000-0000-000027030000}"/>
    <cellStyle name="SAPBEXresItem 4" xfId="328" xr:uid="{00000000-0005-0000-0000-000028030000}"/>
    <cellStyle name="SAPBEXresItem 4 2" xfId="800" xr:uid="{00000000-0005-0000-0000-000029030000}"/>
    <cellStyle name="SAPBEXresItem 5" xfId="329" xr:uid="{00000000-0005-0000-0000-00002A030000}"/>
    <cellStyle name="SAPBEXresItem 5 2" xfId="882" xr:uid="{00000000-0005-0000-0000-00002B030000}"/>
    <cellStyle name="SAPBEXresItem 6" xfId="727" xr:uid="{00000000-0005-0000-0000-00002C030000}"/>
    <cellStyle name="SAPBEXresItemX" xfId="330" xr:uid="{00000000-0005-0000-0000-00002D030000}"/>
    <cellStyle name="SAPBEXresItemX 2" xfId="331" xr:uid="{00000000-0005-0000-0000-00002E030000}"/>
    <cellStyle name="SAPBEXresItemX 2 2" xfId="770" xr:uid="{00000000-0005-0000-0000-00002F030000}"/>
    <cellStyle name="SAPBEXresItemX 3" xfId="332" xr:uid="{00000000-0005-0000-0000-000030030000}"/>
    <cellStyle name="SAPBEXresItemX 3 2" xfId="852" xr:uid="{00000000-0005-0000-0000-000031030000}"/>
    <cellStyle name="SAPBEXresItemX 4" xfId="333" xr:uid="{00000000-0005-0000-0000-000032030000}"/>
    <cellStyle name="SAPBEXresItemX 4 2" xfId="859" xr:uid="{00000000-0005-0000-0000-000033030000}"/>
    <cellStyle name="SAPBEXresItemX 5" xfId="334" xr:uid="{00000000-0005-0000-0000-000034030000}"/>
    <cellStyle name="SAPBEXresItemX 5 2" xfId="883" xr:uid="{00000000-0005-0000-0000-000035030000}"/>
    <cellStyle name="SAPBEXresItemX 6" xfId="728" xr:uid="{00000000-0005-0000-0000-000036030000}"/>
    <cellStyle name="SAPBEXstdData" xfId="335" xr:uid="{00000000-0005-0000-0000-000037030000}"/>
    <cellStyle name="SAPBEXstdData 2" xfId="336" xr:uid="{00000000-0005-0000-0000-000038030000}"/>
    <cellStyle name="SAPBEXstdData 2 2" xfId="662" xr:uid="{00000000-0005-0000-0000-000039030000}"/>
    <cellStyle name="SAPBEXstdData 2 2 2" xfId="663" xr:uid="{00000000-0005-0000-0000-00003A030000}"/>
    <cellStyle name="SAPBEXstdData 2 2 3" xfId="926" xr:uid="{00000000-0005-0000-0000-00003B030000}"/>
    <cellStyle name="SAPBEXstdData 2 3" xfId="758" xr:uid="{00000000-0005-0000-0000-00003C030000}"/>
    <cellStyle name="SAPBEXstdData 3" xfId="337" xr:uid="{00000000-0005-0000-0000-00003D030000}"/>
    <cellStyle name="SAPBEXstdData 3 2" xfId="853" xr:uid="{00000000-0005-0000-0000-00003E030000}"/>
    <cellStyle name="SAPBEXstdData 4" xfId="338" xr:uid="{00000000-0005-0000-0000-00003F030000}"/>
    <cellStyle name="SAPBEXstdData 4 2" xfId="744" xr:uid="{00000000-0005-0000-0000-000040030000}"/>
    <cellStyle name="SAPBEXstdData 5" xfId="339" xr:uid="{00000000-0005-0000-0000-000041030000}"/>
    <cellStyle name="SAPBEXstdData 5 2" xfId="884" xr:uid="{00000000-0005-0000-0000-000042030000}"/>
    <cellStyle name="SAPBEXstdData 6" xfId="729" xr:uid="{00000000-0005-0000-0000-000043030000}"/>
    <cellStyle name="SAPBEXstdDataEmph" xfId="340" xr:uid="{00000000-0005-0000-0000-000044030000}"/>
    <cellStyle name="SAPBEXstdDataEmph 2" xfId="341" xr:uid="{00000000-0005-0000-0000-000045030000}"/>
    <cellStyle name="SAPBEXstdDataEmph 2 2" xfId="664" xr:uid="{00000000-0005-0000-0000-000046030000}"/>
    <cellStyle name="SAPBEXstdDataEmph 2 2 2" xfId="665" xr:uid="{00000000-0005-0000-0000-000047030000}"/>
    <cellStyle name="SAPBEXstdDataEmph 2 2 3" xfId="927" xr:uid="{00000000-0005-0000-0000-000048030000}"/>
    <cellStyle name="SAPBEXstdDataEmph 2 3" xfId="788" xr:uid="{00000000-0005-0000-0000-000049030000}"/>
    <cellStyle name="SAPBEXstdDataEmph 3" xfId="342" xr:uid="{00000000-0005-0000-0000-00004A030000}"/>
    <cellStyle name="SAPBEXstdDataEmph 3 2" xfId="854" xr:uid="{00000000-0005-0000-0000-00004B030000}"/>
    <cellStyle name="SAPBEXstdDataEmph 4" xfId="343" xr:uid="{00000000-0005-0000-0000-00004C030000}"/>
    <cellStyle name="SAPBEXstdDataEmph 4 2" xfId="761" xr:uid="{00000000-0005-0000-0000-00004D030000}"/>
    <cellStyle name="SAPBEXstdDataEmph 5" xfId="344" xr:uid="{00000000-0005-0000-0000-00004E030000}"/>
    <cellStyle name="SAPBEXstdDataEmph 5 2" xfId="885" xr:uid="{00000000-0005-0000-0000-00004F030000}"/>
    <cellStyle name="SAPBEXstdDataEmph 6" xfId="730" xr:uid="{00000000-0005-0000-0000-000050030000}"/>
    <cellStyle name="SAPBEXstdItem" xfId="345" xr:uid="{00000000-0005-0000-0000-000051030000}"/>
    <cellStyle name="SAPBEXstdItem 2" xfId="346" xr:uid="{00000000-0005-0000-0000-000052030000}"/>
    <cellStyle name="SAPBEXstdItem 2 2" xfId="666" xr:uid="{00000000-0005-0000-0000-000053030000}"/>
    <cellStyle name="SAPBEXstdItem 2 2 2" xfId="667" xr:uid="{00000000-0005-0000-0000-000054030000}"/>
    <cellStyle name="SAPBEXstdItem 2 2 3" xfId="889" xr:uid="{00000000-0005-0000-0000-000055030000}"/>
    <cellStyle name="SAPBEXstdItem 2 3" xfId="816" xr:uid="{00000000-0005-0000-0000-000056030000}"/>
    <cellStyle name="SAPBEXstdItem 3" xfId="347" xr:uid="{00000000-0005-0000-0000-000057030000}"/>
    <cellStyle name="SAPBEXstdItem 3 2" xfId="855" xr:uid="{00000000-0005-0000-0000-000058030000}"/>
    <cellStyle name="SAPBEXstdItem 4" xfId="348" xr:uid="{00000000-0005-0000-0000-000059030000}"/>
    <cellStyle name="SAPBEXstdItem 4 2" xfId="860" xr:uid="{00000000-0005-0000-0000-00005A030000}"/>
    <cellStyle name="SAPBEXstdItem 5" xfId="349" xr:uid="{00000000-0005-0000-0000-00005B030000}"/>
    <cellStyle name="SAPBEXstdItem 5 2" xfId="886" xr:uid="{00000000-0005-0000-0000-00005C030000}"/>
    <cellStyle name="SAPBEXstdItem 6" xfId="731" xr:uid="{00000000-0005-0000-0000-00005D030000}"/>
    <cellStyle name="SAPBEXstdItemX" xfId="350" xr:uid="{00000000-0005-0000-0000-00005E030000}"/>
    <cellStyle name="SAPBEXstdItemX 2" xfId="351" xr:uid="{00000000-0005-0000-0000-00005F030000}"/>
    <cellStyle name="SAPBEXstdItemX 2 2" xfId="759" xr:uid="{00000000-0005-0000-0000-000060030000}"/>
    <cellStyle name="SAPBEXstdItemX 3" xfId="352" xr:uid="{00000000-0005-0000-0000-000061030000}"/>
    <cellStyle name="SAPBEXstdItemX 3 2" xfId="856" xr:uid="{00000000-0005-0000-0000-000062030000}"/>
    <cellStyle name="SAPBEXstdItemX 4" xfId="353" xr:uid="{00000000-0005-0000-0000-000063030000}"/>
    <cellStyle name="SAPBEXstdItemX 4 2" xfId="774" xr:uid="{00000000-0005-0000-0000-000064030000}"/>
    <cellStyle name="SAPBEXstdItemX 5" xfId="354" xr:uid="{00000000-0005-0000-0000-000065030000}"/>
    <cellStyle name="SAPBEXstdItemX 5 2" xfId="887" xr:uid="{00000000-0005-0000-0000-000066030000}"/>
    <cellStyle name="SAPBEXstdItemX 6" xfId="732" xr:uid="{00000000-0005-0000-0000-000067030000}"/>
    <cellStyle name="SAPBEXtitle" xfId="355" xr:uid="{00000000-0005-0000-0000-000068030000}"/>
    <cellStyle name="SAPBEXtitle 10" xfId="668" xr:uid="{00000000-0005-0000-0000-000069030000}"/>
    <cellStyle name="SAPBEXtitle 11" xfId="669" xr:uid="{00000000-0005-0000-0000-00006A030000}"/>
    <cellStyle name="SAPBEXtitle 12" xfId="670" xr:uid="{00000000-0005-0000-0000-00006B030000}"/>
    <cellStyle name="SAPBEXtitle 2" xfId="671" xr:uid="{00000000-0005-0000-0000-00006C030000}"/>
    <cellStyle name="SAPBEXtitle 3" xfId="672" xr:uid="{00000000-0005-0000-0000-00006D030000}"/>
    <cellStyle name="SAPBEXtitle 3 2" xfId="673" xr:uid="{00000000-0005-0000-0000-00006E030000}"/>
    <cellStyle name="SAPBEXtitle 4" xfId="674" xr:uid="{00000000-0005-0000-0000-00006F030000}"/>
    <cellStyle name="SAPBEXtitle 4 2" xfId="675" xr:uid="{00000000-0005-0000-0000-000070030000}"/>
    <cellStyle name="SAPBEXtitle 5" xfId="676" xr:uid="{00000000-0005-0000-0000-000071030000}"/>
    <cellStyle name="SAPBEXtitle 6" xfId="677" xr:uid="{00000000-0005-0000-0000-000072030000}"/>
    <cellStyle name="SAPBEXtitle 7" xfId="678" xr:uid="{00000000-0005-0000-0000-000073030000}"/>
    <cellStyle name="SAPBEXtitle 8" xfId="679" xr:uid="{00000000-0005-0000-0000-000074030000}"/>
    <cellStyle name="SAPBEXtitle 9" xfId="680" xr:uid="{00000000-0005-0000-0000-000075030000}"/>
    <cellStyle name="SAPBEXunassignedItem" xfId="681" xr:uid="{00000000-0005-0000-0000-000076030000}"/>
    <cellStyle name="SAPBEXunassignedItem 2" xfId="682" xr:uid="{00000000-0005-0000-0000-000077030000}"/>
    <cellStyle name="SAPBEXunassignedItem 3" xfId="928" xr:uid="{00000000-0005-0000-0000-000078030000}"/>
    <cellStyle name="SAPBEXundefined" xfId="356" xr:uid="{00000000-0005-0000-0000-000079030000}"/>
    <cellStyle name="SAPBEXundefined 2" xfId="357" xr:uid="{00000000-0005-0000-0000-00007A030000}"/>
    <cellStyle name="SAPBEXundefined 2 2" xfId="817" xr:uid="{00000000-0005-0000-0000-00007B030000}"/>
    <cellStyle name="SAPBEXundefined 3" xfId="358" xr:uid="{00000000-0005-0000-0000-00007C030000}"/>
    <cellStyle name="SAPBEXundefined 3 2" xfId="858" xr:uid="{00000000-0005-0000-0000-00007D030000}"/>
    <cellStyle name="SAPBEXundefined 4" xfId="359" xr:uid="{00000000-0005-0000-0000-00007E030000}"/>
    <cellStyle name="SAPBEXundefined 4 2" xfId="778" xr:uid="{00000000-0005-0000-0000-00007F030000}"/>
    <cellStyle name="SAPBEXundefined 5" xfId="360" xr:uid="{00000000-0005-0000-0000-000080030000}"/>
    <cellStyle name="SAPBEXundefined 5 2" xfId="888" xr:uid="{00000000-0005-0000-0000-000081030000}"/>
    <cellStyle name="SAPBEXundefined 6" xfId="733" xr:uid="{00000000-0005-0000-0000-000082030000}"/>
    <cellStyle name="Sheet Title" xfId="683" xr:uid="{00000000-0005-0000-0000-000083030000}"/>
    <cellStyle name="Štýl 1" xfId="361" xr:uid="{00000000-0005-0000-0000-000084030000}"/>
    <cellStyle name="Štýl 1 2" xfId="362" xr:uid="{00000000-0005-0000-0000-000085030000}"/>
    <cellStyle name="Štýl 2" xfId="363" xr:uid="{00000000-0005-0000-0000-000086030000}"/>
    <cellStyle name="Štýl 2 2" xfId="364" xr:uid="{00000000-0005-0000-0000-000087030000}"/>
    <cellStyle name="Title" xfId="365" xr:uid="{00000000-0005-0000-0000-000088030000}"/>
    <cellStyle name="Total" xfId="366" xr:uid="{00000000-0005-0000-0000-000089030000}"/>
    <cellStyle name="Total 2" xfId="367" xr:uid="{00000000-0005-0000-0000-00008A030000}"/>
    <cellStyle name="Total 2 2" xfId="368" xr:uid="{00000000-0005-0000-0000-00008B030000}"/>
    <cellStyle name="Total 2 2 2" xfId="771" xr:uid="{00000000-0005-0000-0000-00008C030000}"/>
    <cellStyle name="Total 2 3" xfId="369" xr:uid="{00000000-0005-0000-0000-00008D030000}"/>
    <cellStyle name="Total 2 3 2" xfId="861" xr:uid="{00000000-0005-0000-0000-00008E030000}"/>
    <cellStyle name="Total 2 4" xfId="734" xr:uid="{00000000-0005-0000-0000-00008F030000}"/>
    <cellStyle name="Total 3" xfId="370" xr:uid="{00000000-0005-0000-0000-000090030000}"/>
    <cellStyle name="Total 3 2" xfId="371" xr:uid="{00000000-0005-0000-0000-000091030000}"/>
    <cellStyle name="Total 3 2 2" xfId="820" xr:uid="{00000000-0005-0000-0000-000092030000}"/>
    <cellStyle name="Total 3 3" xfId="372" xr:uid="{00000000-0005-0000-0000-000093030000}"/>
    <cellStyle name="Total 3 3 2" xfId="862" xr:uid="{00000000-0005-0000-0000-000094030000}"/>
    <cellStyle name="Total 3 4" xfId="735" xr:uid="{00000000-0005-0000-0000-000095030000}"/>
    <cellStyle name="Total 4" xfId="373" xr:uid="{00000000-0005-0000-0000-000096030000}"/>
    <cellStyle name="Total 4 2" xfId="696" xr:uid="{00000000-0005-0000-0000-000097030000}"/>
    <cellStyle name="Total 5" xfId="374" xr:uid="{00000000-0005-0000-0000-000098030000}"/>
    <cellStyle name="Total 5 2" xfId="745" xr:uid="{00000000-0005-0000-0000-000099030000}"/>
    <cellStyle name="Total 6" xfId="375" xr:uid="{00000000-0005-0000-0000-00009A030000}"/>
    <cellStyle name="Total 6 2" xfId="737" xr:uid="{00000000-0005-0000-0000-00009B030000}"/>
    <cellStyle name="Total 7" xfId="688" xr:uid="{00000000-0005-0000-0000-00009C030000}"/>
    <cellStyle name="vstu_oby_cele" xfId="376" xr:uid="{00000000-0005-0000-0000-00009D030000}"/>
    <cellStyle name="Vstup 2" xfId="929" xr:uid="{00000000-0005-0000-0000-00009E030000}"/>
    <cellStyle name="VVŠ" xfId="377" xr:uid="{00000000-0005-0000-0000-00009F030000}"/>
    <cellStyle name="VVŠ Modre" xfId="378" xr:uid="{00000000-0005-0000-0000-0000A0030000}"/>
    <cellStyle name="výstup koncový" xfId="379" xr:uid="{00000000-0005-0000-0000-0000A1030000}"/>
    <cellStyle name="výstup koncový 2" xfId="380" xr:uid="{00000000-0005-0000-0000-0000A2030000}"/>
    <cellStyle name="Warning Text" xfId="381" xr:uid="{00000000-0005-0000-0000-0000A3030000}"/>
    <cellStyle name="Zlá" xfId="932" builtinId="27"/>
  </cellStyles>
  <dxfs count="11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</font>
      <border>
        <bottom style="medium">
          <color auto="1"/>
        </bottom>
        <horizontal style="medium">
          <color auto="1"/>
        </horizontal>
      </border>
    </dxf>
    <dxf>
      <fill>
        <patternFill>
          <bgColor theme="5" tint="0.59996337778862885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1" defaultTableStyle="TableStyleMedium2" defaultPivotStyle="PivotStyleLight16">
    <tableStyle name="MySqlDefault" pivot="0" table="0" count="2" xr9:uid="{00000000-0011-0000-FFFF-FFFF00000000}">
      <tableStyleElement type="wholeTable" dxfId="111"/>
      <tableStyleElement type="headerRow" dxfId="110"/>
    </tableStyle>
    <tableStyle name="PivotStyleLight16 4" table="0" count="11" xr9:uid="{00000000-0011-0000-FFFF-FFFF01000000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Štýl kontingenčnej tabuľky 1" table="0" count="1" xr9:uid="{00000000-0011-0000-FFFF-FFFF02000000}">
      <tableStyleElement type="firstColumn" dxfId="98"/>
    </tableStyle>
    <tableStyle name="Štýl kontingenčnej tabuľky 2" table="0" count="1" xr9:uid="{00000000-0011-0000-FFFF-FFFF03000000}">
      <tableStyleElement type="totalRow" dxfId="97"/>
    </tableStyle>
    <tableStyle name="Štýl kontingenčnej tabuľky 3" table="0" count="0" xr9:uid="{00000000-0011-0000-FFFF-FFFF04000000}"/>
    <tableStyle name="Štýl kontingenčnej tabuľky 4" table="0" count="1" xr9:uid="{00000000-0011-0000-FFFF-FFFF05000000}">
      <tableStyleElement type="firstColumn" dxfId="96"/>
    </tableStyle>
    <tableStyle name="Štýl kontingenčnej tabuľky 5" table="0" count="0" xr9:uid="{00000000-0011-0000-FFFF-FFFF06000000}"/>
    <tableStyle name="Štýl tabuľky 1" pivot="0" count="1" xr9:uid="{00000000-0011-0000-FFFF-FFFF07000000}">
      <tableStyleElement type="firstColumn" dxfId="95"/>
    </tableStyle>
    <tableStyle name="PivotStyleLight16 2" table="0" count="11" xr9:uid="{00000000-0011-0000-FFFF-FFFF08000000}"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Light16 3" table="0" count="11" xr9:uid="{00000000-0011-0000-FFFF-FFFF09000000}">
      <tableStyleElement type="headerRow" dxfId="83"/>
      <tableStyleElement type="totalRow" dxfId="82"/>
      <tableStyleElement type="firstRowStripe" dxfId="81"/>
      <tableStyleElement type="firstColumnStripe" dxfId="80"/>
      <tableStyleElement type="firstSubtotalColumn" dxfId="79"/>
      <tableStyleElement type="firstSubtotalRow" dxfId="78"/>
      <tableStyleElement type="secondSubtotalRow" dxfId="77"/>
      <tableStyleElement type="firstRowSubheading" dxfId="76"/>
      <tableStyleElement type="secondRowSubheading" dxfId="75"/>
      <tableStyleElement type="pageFieldLabels" dxfId="74"/>
      <tableStyleElement type="pageFieldValues" dxfId="73"/>
    </tableStyle>
    <tableStyle name="TableStyleMedium2 2" pivot="0" count="7" xr9:uid="{00000000-0011-0000-FFFF-FFFF0A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3</xdr:row>
      <xdr:rowOff>9525</xdr:rowOff>
    </xdr:from>
    <xdr:to>
      <xdr:col>4</xdr:col>
      <xdr:colOff>142529</xdr:colOff>
      <xdr:row>15</xdr:row>
      <xdr:rowOff>33867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825" y="619125"/>
          <a:ext cx="2609504" cy="2462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Users/Roman/OneDrive%20-%20UPJ&#352;/RSfiles/Rozpocet/UPJS/2020/SR/Dec-rozp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Rozpocet/SR/2016/finalWEB/RD_2016_V17-w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tak/OneDrive%20-%20UPJ&#352;/RSfiles/Rozpocet/UPJS/2024/SR/FinalDecember/Rozpis2024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Users/Roman/OneDrive%20-%20UPJ&#352;/RSfiles/Rozpocet/UPJS/2020/SR/FebruarFinal/Rozpis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0_RD_2019-DZ"/>
      <sheetName val="T1-RD2020_RD_2019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-2020"/>
      <sheetName val="T7b-val-1,9,2019-2020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4e-tímy"/>
      <sheetName val="T14f-EIZ"/>
      <sheetName val="T15-štipendiá-soc"/>
      <sheetName val="T16-KKŠ"/>
      <sheetName val="T17-Klinické-Zahr_lek"/>
      <sheetName val="T18-Mot_štip"/>
      <sheetName val="T19-počty študentov"/>
      <sheetName val="T20-Publik"/>
      <sheetName val="T20a-KT-CRUČ"/>
      <sheetName val="T20b-CRUČ"/>
      <sheetName val="T21-Mobility"/>
      <sheetName val="T21a- mobility"/>
      <sheetName val="T21b-cudzinci"/>
      <sheetName val="T22-praxe"/>
      <sheetName val="T23-špecifické_potreby"/>
      <sheetName val="T24-rozvo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SR2016_RD2015"/>
      <sheetName val="T1-SR2016_RD2015 s korekciou"/>
      <sheetName val="T1-SR2016_RD2015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"/>
      <sheetName val="Korekcia-2015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5-štipendiá-soc-Drš"/>
      <sheetName val="T16-KKŠ"/>
      <sheetName val="T17-Klinické-Zahr_lek"/>
      <sheetName val="T18-Mot_štip"/>
      <sheetName val="T19-počty študentov"/>
      <sheetName val="T20-Publik"/>
      <sheetName val="T20a-EPC"/>
      <sheetName val="T20b-EUC"/>
      <sheetName val="T21-Mobility"/>
      <sheetName val="T22-praxe"/>
      <sheetName val="T23-špecifické_potreb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4_RD_2023+exc"/>
      <sheetName val="T1-RD2024_RD_2023 (%)"/>
      <sheetName val="T2-KO"/>
      <sheetName val="T2-KAP-2024"/>
      <sheetName val="Nezames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-fak"/>
      <sheetName val="T6d-Výkon-zm"/>
      <sheetName val="T7-mzdy"/>
      <sheetName val="T7c-val-1,9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ver2022"/>
      <sheetName val="T14ab-exc"/>
      <sheetName val="T14b-podiely"/>
      <sheetName val="T14c-vstup_DG-ZG"/>
      <sheetName val="T14d-crš"/>
      <sheetName val="T14d-Drš"/>
      <sheetName val="T15-štipendiá"/>
      <sheetName val="T16-KIVČ"/>
      <sheetName val="T17-Klinické-Zahr_lek"/>
      <sheetName val="T18-Mot_štip"/>
      <sheetName val="T19-počty študentov"/>
      <sheetName val="T19a-dotovaný štud."/>
      <sheetName val="T20-Publik"/>
      <sheetName val="T20a-CREUČ-sum"/>
      <sheetName val="T20b-Vizual"/>
      <sheetName val="T20c-Perform"/>
      <sheetName val="T21-Mobility"/>
      <sheetName val="T21a-mobility"/>
      <sheetName val="T21b-cudzinci"/>
      <sheetName val="T22-praxe"/>
      <sheetName val="T23-crš"/>
      <sheetName val="T23-špecifické_potreb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I1">
            <v>7606</v>
          </cell>
        </row>
        <row r="2">
          <cell r="BI2" t="str">
            <v>student</v>
          </cell>
        </row>
        <row r="3">
          <cell r="BI3">
            <v>8</v>
          </cell>
        </row>
        <row r="4">
          <cell r="BI4">
            <v>30</v>
          </cell>
        </row>
        <row r="5">
          <cell r="BI5">
            <v>44</v>
          </cell>
        </row>
        <row r="6">
          <cell r="BI6">
            <v>14</v>
          </cell>
        </row>
        <row r="7">
          <cell r="BI7">
            <v>22</v>
          </cell>
        </row>
        <row r="8">
          <cell r="BI8">
            <v>134</v>
          </cell>
        </row>
        <row r="9">
          <cell r="BI9">
            <v>12</v>
          </cell>
        </row>
        <row r="10">
          <cell r="BI10">
            <v>19</v>
          </cell>
        </row>
        <row r="11">
          <cell r="BI11">
            <v>16</v>
          </cell>
        </row>
        <row r="12">
          <cell r="BI12">
            <v>39</v>
          </cell>
        </row>
        <row r="13">
          <cell r="BI13">
            <v>1874</v>
          </cell>
        </row>
        <row r="14">
          <cell r="BI14">
            <v>13</v>
          </cell>
        </row>
        <row r="15">
          <cell r="BI15">
            <v>25</v>
          </cell>
        </row>
        <row r="16">
          <cell r="BI16">
            <v>17</v>
          </cell>
        </row>
        <row r="17">
          <cell r="BI17">
            <v>2</v>
          </cell>
        </row>
        <row r="18">
          <cell r="BI18">
            <v>14</v>
          </cell>
        </row>
        <row r="19">
          <cell r="BI19">
            <v>1369</v>
          </cell>
        </row>
        <row r="20">
          <cell r="BI20">
            <v>95</v>
          </cell>
        </row>
        <row r="21">
          <cell r="BI21">
            <v>4</v>
          </cell>
        </row>
        <row r="22">
          <cell r="BI22">
            <v>617</v>
          </cell>
        </row>
        <row r="23">
          <cell r="BI23">
            <v>322</v>
          </cell>
        </row>
        <row r="24">
          <cell r="BI24">
            <v>35</v>
          </cell>
        </row>
        <row r="25">
          <cell r="BI25">
            <v>5</v>
          </cell>
        </row>
        <row r="26">
          <cell r="BI26">
            <v>5</v>
          </cell>
        </row>
        <row r="27">
          <cell r="BI27">
            <v>180</v>
          </cell>
        </row>
        <row r="28">
          <cell r="BI28">
            <v>5</v>
          </cell>
        </row>
        <row r="29">
          <cell r="BI29">
            <v>11</v>
          </cell>
        </row>
        <row r="30">
          <cell r="BI30">
            <v>734</v>
          </cell>
        </row>
        <row r="31">
          <cell r="BI31">
            <v>59</v>
          </cell>
        </row>
        <row r="32">
          <cell r="BI32">
            <v>19</v>
          </cell>
        </row>
        <row r="33">
          <cell r="BI33">
            <v>1</v>
          </cell>
        </row>
        <row r="34">
          <cell r="BI34">
            <v>2</v>
          </cell>
        </row>
        <row r="35">
          <cell r="BI35">
            <v>118</v>
          </cell>
        </row>
        <row r="36">
          <cell r="BI36">
            <v>3</v>
          </cell>
        </row>
        <row r="37">
          <cell r="BI37">
            <v>3</v>
          </cell>
        </row>
        <row r="38">
          <cell r="BI38">
            <v>245</v>
          </cell>
        </row>
        <row r="39">
          <cell r="BI39">
            <v>10</v>
          </cell>
        </row>
        <row r="40">
          <cell r="BI40">
            <v>66</v>
          </cell>
        </row>
        <row r="41">
          <cell r="BI41">
            <v>2</v>
          </cell>
        </row>
        <row r="42">
          <cell r="BI42">
            <v>18</v>
          </cell>
        </row>
        <row r="43">
          <cell r="BI43">
            <v>13</v>
          </cell>
        </row>
        <row r="44">
          <cell r="BI44">
            <v>6</v>
          </cell>
        </row>
        <row r="45">
          <cell r="BI45">
            <v>24</v>
          </cell>
        </row>
        <row r="46">
          <cell r="BI46">
            <v>6</v>
          </cell>
        </row>
        <row r="47">
          <cell r="BI47">
            <v>801</v>
          </cell>
        </row>
        <row r="48">
          <cell r="BI48">
            <v>1</v>
          </cell>
        </row>
        <row r="49">
          <cell r="BI49">
            <v>12</v>
          </cell>
        </row>
        <row r="50">
          <cell r="BI50">
            <v>63</v>
          </cell>
        </row>
        <row r="51">
          <cell r="BI51">
            <v>4</v>
          </cell>
        </row>
        <row r="52">
          <cell r="BI52">
            <v>5</v>
          </cell>
        </row>
        <row r="53">
          <cell r="BI53">
            <v>4</v>
          </cell>
        </row>
        <row r="54">
          <cell r="BI54">
            <v>389</v>
          </cell>
        </row>
        <row r="55">
          <cell r="BI55">
            <v>38</v>
          </cell>
        </row>
        <row r="56">
          <cell r="BI56">
            <v>37</v>
          </cell>
        </row>
        <row r="57">
          <cell r="BI57">
            <v>61</v>
          </cell>
        </row>
        <row r="58">
          <cell r="BI58">
            <v>27</v>
          </cell>
        </row>
        <row r="59">
          <cell r="BI59">
            <v>27</v>
          </cell>
        </row>
        <row r="60">
          <cell r="BI60">
            <v>1</v>
          </cell>
        </row>
        <row r="61">
          <cell r="BI61">
            <v>32</v>
          </cell>
        </row>
        <row r="62">
          <cell r="BI62">
            <v>128</v>
          </cell>
        </row>
        <row r="63">
          <cell r="BI63">
            <v>4</v>
          </cell>
        </row>
        <row r="64">
          <cell r="BI64">
            <v>8</v>
          </cell>
        </row>
        <row r="65">
          <cell r="BI65">
            <v>17</v>
          </cell>
        </row>
        <row r="66">
          <cell r="BI66">
            <v>12</v>
          </cell>
        </row>
        <row r="67">
          <cell r="BI67">
            <v>232</v>
          </cell>
        </row>
        <row r="68">
          <cell r="BI68">
            <v>4</v>
          </cell>
        </row>
        <row r="69">
          <cell r="BI69">
            <v>123</v>
          </cell>
        </row>
        <row r="70">
          <cell r="BI70">
            <v>409</v>
          </cell>
        </row>
        <row r="71">
          <cell r="BI71">
            <v>173</v>
          </cell>
        </row>
        <row r="72">
          <cell r="BI72">
            <v>460</v>
          </cell>
        </row>
        <row r="73">
          <cell r="BI73">
            <v>13</v>
          </cell>
        </row>
        <row r="74">
          <cell r="BI74">
            <v>9</v>
          </cell>
        </row>
        <row r="75">
          <cell r="BI75">
            <v>2</v>
          </cell>
        </row>
        <row r="76">
          <cell r="BI76">
            <v>4</v>
          </cell>
        </row>
        <row r="77">
          <cell r="BI77">
            <v>13</v>
          </cell>
        </row>
        <row r="78">
          <cell r="BI78">
            <v>9</v>
          </cell>
        </row>
        <row r="79">
          <cell r="BI79">
            <v>13</v>
          </cell>
        </row>
        <row r="80">
          <cell r="BI80">
            <v>49</v>
          </cell>
        </row>
        <row r="81">
          <cell r="BI81">
            <v>4</v>
          </cell>
        </row>
        <row r="82">
          <cell r="BI82">
            <v>6</v>
          </cell>
        </row>
        <row r="83">
          <cell r="BI83">
            <v>28</v>
          </cell>
        </row>
        <row r="84">
          <cell r="BI84">
            <v>1149</v>
          </cell>
        </row>
        <row r="85">
          <cell r="BI85">
            <v>248</v>
          </cell>
        </row>
        <row r="86">
          <cell r="BI86">
            <v>624</v>
          </cell>
        </row>
        <row r="87">
          <cell r="BI87">
            <v>2</v>
          </cell>
        </row>
        <row r="88">
          <cell r="BI88">
            <v>36</v>
          </cell>
        </row>
        <row r="89">
          <cell r="BI89">
            <v>60</v>
          </cell>
        </row>
        <row r="90">
          <cell r="BI90">
            <v>157</v>
          </cell>
        </row>
        <row r="91">
          <cell r="BI91">
            <v>172</v>
          </cell>
        </row>
        <row r="92">
          <cell r="BI92">
            <v>84</v>
          </cell>
        </row>
        <row r="93">
          <cell r="BI93">
            <v>207</v>
          </cell>
        </row>
        <row r="94">
          <cell r="BI94">
            <v>149</v>
          </cell>
        </row>
        <row r="95">
          <cell r="BI95">
            <v>14</v>
          </cell>
        </row>
        <row r="96">
          <cell r="BI96">
            <v>1</v>
          </cell>
        </row>
        <row r="97">
          <cell r="BI97">
            <v>12</v>
          </cell>
        </row>
        <row r="98">
          <cell r="BI98">
            <v>107</v>
          </cell>
        </row>
        <row r="99">
          <cell r="BI99">
            <v>6</v>
          </cell>
        </row>
        <row r="100">
          <cell r="BI100">
            <v>100</v>
          </cell>
        </row>
        <row r="101">
          <cell r="BI101">
            <v>18</v>
          </cell>
        </row>
        <row r="102">
          <cell r="BI102">
            <v>10</v>
          </cell>
        </row>
        <row r="103">
          <cell r="BI103">
            <v>68</v>
          </cell>
        </row>
        <row r="104">
          <cell r="BI104">
            <v>3</v>
          </cell>
        </row>
        <row r="105">
          <cell r="BI105">
            <v>5</v>
          </cell>
        </row>
        <row r="106">
          <cell r="BI106">
            <v>4</v>
          </cell>
        </row>
        <row r="107">
          <cell r="BI107">
            <v>20</v>
          </cell>
        </row>
        <row r="108">
          <cell r="BI108">
            <v>3</v>
          </cell>
        </row>
        <row r="109">
          <cell r="BI109">
            <v>6</v>
          </cell>
        </row>
        <row r="110">
          <cell r="BI110">
            <v>36</v>
          </cell>
        </row>
        <row r="111">
          <cell r="BI111">
            <v>18</v>
          </cell>
        </row>
        <row r="112">
          <cell r="BI112">
            <v>21</v>
          </cell>
        </row>
        <row r="113">
          <cell r="BI113">
            <v>4</v>
          </cell>
        </row>
        <row r="114">
          <cell r="BI114">
            <v>20</v>
          </cell>
        </row>
        <row r="115">
          <cell r="BI115">
            <v>2</v>
          </cell>
        </row>
        <row r="116">
          <cell r="BI116">
            <v>6</v>
          </cell>
        </row>
        <row r="117">
          <cell r="BI117">
            <v>28</v>
          </cell>
        </row>
        <row r="118">
          <cell r="BI118">
            <v>6</v>
          </cell>
        </row>
        <row r="119">
          <cell r="BI119">
            <v>14</v>
          </cell>
        </row>
        <row r="120">
          <cell r="BI120">
            <v>9</v>
          </cell>
        </row>
        <row r="121">
          <cell r="BI121">
            <v>2</v>
          </cell>
        </row>
        <row r="122">
          <cell r="BI122">
            <v>371</v>
          </cell>
        </row>
        <row r="123">
          <cell r="BI123">
            <v>4</v>
          </cell>
        </row>
        <row r="124">
          <cell r="BI124">
            <v>877</v>
          </cell>
        </row>
        <row r="125">
          <cell r="BI125">
            <v>19</v>
          </cell>
        </row>
        <row r="126">
          <cell r="BI126">
            <v>9</v>
          </cell>
        </row>
        <row r="127">
          <cell r="BI127">
            <v>48</v>
          </cell>
        </row>
        <row r="128">
          <cell r="BI128">
            <v>12</v>
          </cell>
        </row>
        <row r="129">
          <cell r="BI129">
            <v>20</v>
          </cell>
        </row>
        <row r="130">
          <cell r="BI130">
            <v>16</v>
          </cell>
        </row>
        <row r="131">
          <cell r="BI131">
            <v>16</v>
          </cell>
        </row>
        <row r="132">
          <cell r="BI132">
            <v>905</v>
          </cell>
        </row>
        <row r="133">
          <cell r="BI133">
            <v>9</v>
          </cell>
        </row>
        <row r="134">
          <cell r="BI134">
            <v>17</v>
          </cell>
        </row>
        <row r="135">
          <cell r="BI135">
            <v>12</v>
          </cell>
        </row>
        <row r="136">
          <cell r="BI136">
            <v>42</v>
          </cell>
        </row>
        <row r="137">
          <cell r="BI137">
            <v>72</v>
          </cell>
        </row>
        <row r="138">
          <cell r="BI138">
            <v>32</v>
          </cell>
        </row>
        <row r="139">
          <cell r="BI139">
            <v>166</v>
          </cell>
        </row>
        <row r="140">
          <cell r="BI140">
            <v>133</v>
          </cell>
        </row>
        <row r="141">
          <cell r="BI141">
            <v>6</v>
          </cell>
        </row>
        <row r="142">
          <cell r="BI142">
            <v>13</v>
          </cell>
        </row>
        <row r="143">
          <cell r="BI143">
            <v>10</v>
          </cell>
        </row>
        <row r="144">
          <cell r="BI144">
            <v>29</v>
          </cell>
        </row>
        <row r="145">
          <cell r="BI145">
            <v>4</v>
          </cell>
        </row>
        <row r="146">
          <cell r="BI146">
            <v>17</v>
          </cell>
        </row>
        <row r="147">
          <cell r="BI147">
            <v>8</v>
          </cell>
        </row>
        <row r="148">
          <cell r="BI148">
            <v>2</v>
          </cell>
        </row>
        <row r="149">
          <cell r="BI149">
            <v>11</v>
          </cell>
        </row>
        <row r="150">
          <cell r="BI150">
            <v>4</v>
          </cell>
        </row>
        <row r="151">
          <cell r="BI151">
            <v>116</v>
          </cell>
        </row>
        <row r="152">
          <cell r="BI152">
            <v>5</v>
          </cell>
        </row>
        <row r="153">
          <cell r="BI153">
            <v>18</v>
          </cell>
        </row>
        <row r="154">
          <cell r="BI154">
            <v>62</v>
          </cell>
        </row>
        <row r="155">
          <cell r="BI155">
            <v>40</v>
          </cell>
        </row>
        <row r="156">
          <cell r="BI156">
            <v>149</v>
          </cell>
        </row>
        <row r="157">
          <cell r="BI157">
            <v>1</v>
          </cell>
        </row>
        <row r="158">
          <cell r="BI158">
            <v>112</v>
          </cell>
        </row>
        <row r="159">
          <cell r="BI159">
            <v>274</v>
          </cell>
        </row>
        <row r="160">
          <cell r="BI160">
            <v>49</v>
          </cell>
        </row>
        <row r="161">
          <cell r="BI161">
            <v>625</v>
          </cell>
        </row>
        <row r="162">
          <cell r="BI162">
            <v>339</v>
          </cell>
        </row>
        <row r="163">
          <cell r="BI163">
            <v>91</v>
          </cell>
        </row>
        <row r="164">
          <cell r="BI164">
            <v>117</v>
          </cell>
        </row>
        <row r="165">
          <cell r="BI165">
            <v>10</v>
          </cell>
        </row>
        <row r="166">
          <cell r="BI166">
            <v>111</v>
          </cell>
        </row>
        <row r="167">
          <cell r="BI167">
            <v>32</v>
          </cell>
        </row>
        <row r="168">
          <cell r="BI168">
            <v>98</v>
          </cell>
        </row>
        <row r="169">
          <cell r="BI169">
            <v>14</v>
          </cell>
        </row>
        <row r="170">
          <cell r="BI170">
            <v>48</v>
          </cell>
        </row>
        <row r="171">
          <cell r="BI171">
            <v>68</v>
          </cell>
        </row>
        <row r="172">
          <cell r="BI172">
            <v>6</v>
          </cell>
        </row>
        <row r="173">
          <cell r="BI173">
            <v>2</v>
          </cell>
        </row>
        <row r="174">
          <cell r="BI174">
            <v>43</v>
          </cell>
        </row>
        <row r="175">
          <cell r="BI175">
            <v>6</v>
          </cell>
        </row>
        <row r="176">
          <cell r="BI176">
            <v>59</v>
          </cell>
        </row>
        <row r="177">
          <cell r="BI177">
            <v>53.5</v>
          </cell>
        </row>
        <row r="178">
          <cell r="BI178">
            <v>3.5</v>
          </cell>
        </row>
        <row r="179">
          <cell r="BI179">
            <v>1</v>
          </cell>
        </row>
        <row r="180">
          <cell r="BI180">
            <v>6</v>
          </cell>
        </row>
        <row r="181">
          <cell r="BI181">
            <v>229</v>
          </cell>
        </row>
        <row r="182">
          <cell r="BI182">
            <v>6</v>
          </cell>
        </row>
        <row r="183">
          <cell r="BI183">
            <v>14</v>
          </cell>
        </row>
        <row r="184">
          <cell r="BI184">
            <v>5</v>
          </cell>
        </row>
        <row r="185">
          <cell r="BI185">
            <v>32</v>
          </cell>
        </row>
        <row r="186">
          <cell r="BI186">
            <v>58</v>
          </cell>
        </row>
        <row r="187">
          <cell r="BI187">
            <v>38</v>
          </cell>
        </row>
        <row r="188">
          <cell r="BI188">
            <v>1</v>
          </cell>
        </row>
        <row r="189">
          <cell r="BI189">
            <v>130</v>
          </cell>
        </row>
        <row r="190">
          <cell r="BI190">
            <v>523</v>
          </cell>
        </row>
        <row r="191">
          <cell r="BI191">
            <v>42</v>
          </cell>
        </row>
        <row r="192">
          <cell r="BI192">
            <v>218</v>
          </cell>
        </row>
        <row r="193">
          <cell r="BI193">
            <v>7</v>
          </cell>
        </row>
        <row r="194">
          <cell r="BI194">
            <v>460</v>
          </cell>
        </row>
        <row r="195">
          <cell r="BI195">
            <v>89</v>
          </cell>
        </row>
        <row r="196">
          <cell r="BI196">
            <v>6</v>
          </cell>
        </row>
        <row r="197">
          <cell r="BI197">
            <v>12</v>
          </cell>
        </row>
        <row r="198">
          <cell r="BI198">
            <v>6</v>
          </cell>
        </row>
        <row r="199">
          <cell r="BI199">
            <v>6</v>
          </cell>
        </row>
        <row r="200">
          <cell r="BI200">
            <v>20</v>
          </cell>
        </row>
        <row r="201">
          <cell r="BI201">
            <v>5</v>
          </cell>
        </row>
        <row r="202">
          <cell r="BI202">
            <v>4</v>
          </cell>
        </row>
        <row r="203">
          <cell r="BI203">
            <v>3</v>
          </cell>
        </row>
        <row r="204">
          <cell r="BI204">
            <v>6</v>
          </cell>
        </row>
        <row r="205">
          <cell r="BI205">
            <v>252</v>
          </cell>
        </row>
        <row r="206">
          <cell r="BI206">
            <v>73</v>
          </cell>
        </row>
        <row r="207">
          <cell r="BI207">
            <v>5</v>
          </cell>
        </row>
        <row r="208">
          <cell r="BI208">
            <v>92</v>
          </cell>
        </row>
        <row r="209">
          <cell r="BI209">
            <v>16</v>
          </cell>
        </row>
        <row r="210">
          <cell r="BI210">
            <v>150</v>
          </cell>
        </row>
        <row r="211">
          <cell r="BI211">
            <v>105</v>
          </cell>
        </row>
        <row r="212">
          <cell r="BI212">
            <v>13</v>
          </cell>
        </row>
        <row r="213">
          <cell r="BI213">
            <v>49</v>
          </cell>
        </row>
        <row r="214">
          <cell r="BI214">
            <v>424</v>
          </cell>
        </row>
        <row r="215">
          <cell r="BI215">
            <v>61</v>
          </cell>
        </row>
        <row r="216">
          <cell r="BI216">
            <v>180</v>
          </cell>
        </row>
        <row r="217">
          <cell r="BI217">
            <v>14</v>
          </cell>
        </row>
        <row r="218">
          <cell r="BI218">
            <v>7</v>
          </cell>
        </row>
        <row r="219">
          <cell r="BI219">
            <v>101</v>
          </cell>
        </row>
        <row r="220">
          <cell r="BI220">
            <v>110</v>
          </cell>
        </row>
        <row r="221">
          <cell r="BI221">
            <v>1</v>
          </cell>
        </row>
        <row r="222">
          <cell r="BI222">
            <v>4</v>
          </cell>
        </row>
        <row r="223">
          <cell r="BI223">
            <v>6</v>
          </cell>
        </row>
        <row r="224">
          <cell r="BI224">
            <v>20</v>
          </cell>
        </row>
        <row r="225">
          <cell r="BI225">
            <v>11</v>
          </cell>
        </row>
        <row r="226">
          <cell r="BI226">
            <v>5</v>
          </cell>
        </row>
        <row r="227">
          <cell r="BI227">
            <v>60</v>
          </cell>
        </row>
        <row r="228">
          <cell r="BI228">
            <v>2</v>
          </cell>
        </row>
        <row r="229">
          <cell r="BI229">
            <v>5</v>
          </cell>
        </row>
        <row r="230">
          <cell r="BI230">
            <v>47</v>
          </cell>
        </row>
        <row r="231">
          <cell r="BI231">
            <v>5</v>
          </cell>
        </row>
        <row r="232">
          <cell r="BI232">
            <v>15</v>
          </cell>
        </row>
        <row r="233">
          <cell r="BI233">
            <v>10</v>
          </cell>
        </row>
        <row r="234">
          <cell r="BI234">
            <v>4</v>
          </cell>
        </row>
        <row r="235">
          <cell r="BI235">
            <v>24</v>
          </cell>
        </row>
        <row r="236">
          <cell r="BI236">
            <v>227</v>
          </cell>
        </row>
        <row r="237">
          <cell r="BI237">
            <v>10</v>
          </cell>
        </row>
        <row r="238">
          <cell r="BI238">
            <v>18</v>
          </cell>
        </row>
        <row r="239">
          <cell r="BI239">
            <v>138</v>
          </cell>
        </row>
        <row r="240">
          <cell r="BI240">
            <v>12</v>
          </cell>
        </row>
        <row r="241">
          <cell r="BI241">
            <v>20</v>
          </cell>
        </row>
        <row r="242">
          <cell r="BI242">
            <v>9</v>
          </cell>
        </row>
        <row r="243">
          <cell r="BI243">
            <v>3</v>
          </cell>
        </row>
        <row r="244">
          <cell r="BI244">
            <v>11</v>
          </cell>
        </row>
        <row r="245">
          <cell r="BI245">
            <v>135</v>
          </cell>
        </row>
        <row r="246">
          <cell r="BI246">
            <v>127</v>
          </cell>
        </row>
        <row r="247">
          <cell r="BI247">
            <v>78</v>
          </cell>
        </row>
        <row r="248">
          <cell r="BI248">
            <v>2</v>
          </cell>
        </row>
        <row r="249">
          <cell r="BI249">
            <v>5</v>
          </cell>
        </row>
        <row r="250">
          <cell r="BI250">
            <v>9</v>
          </cell>
        </row>
        <row r="251">
          <cell r="BI251">
            <v>4</v>
          </cell>
        </row>
        <row r="252">
          <cell r="BI252">
            <v>17</v>
          </cell>
        </row>
        <row r="253">
          <cell r="BI253">
            <v>1</v>
          </cell>
        </row>
        <row r="254">
          <cell r="BI254">
            <v>205</v>
          </cell>
        </row>
        <row r="255">
          <cell r="BI255">
            <v>109</v>
          </cell>
        </row>
        <row r="256">
          <cell r="BI256">
            <v>25</v>
          </cell>
        </row>
        <row r="257">
          <cell r="BI257">
            <v>55</v>
          </cell>
        </row>
        <row r="258">
          <cell r="BI258">
            <v>8</v>
          </cell>
        </row>
        <row r="259">
          <cell r="BI259">
            <v>4</v>
          </cell>
        </row>
        <row r="260">
          <cell r="BI260">
            <v>304</v>
          </cell>
        </row>
        <row r="261">
          <cell r="BI261">
            <v>1</v>
          </cell>
        </row>
        <row r="262">
          <cell r="BI262">
            <v>87</v>
          </cell>
        </row>
        <row r="263">
          <cell r="BI263">
            <v>16</v>
          </cell>
        </row>
        <row r="264">
          <cell r="BI264">
            <v>15.5</v>
          </cell>
        </row>
        <row r="265">
          <cell r="BI265">
            <v>116</v>
          </cell>
        </row>
        <row r="266">
          <cell r="BI266">
            <v>66</v>
          </cell>
        </row>
        <row r="267">
          <cell r="BI267">
            <v>111</v>
          </cell>
        </row>
        <row r="268">
          <cell r="BI268">
            <v>6</v>
          </cell>
        </row>
        <row r="269">
          <cell r="BI269">
            <v>1</v>
          </cell>
        </row>
        <row r="270">
          <cell r="BI270">
            <v>16</v>
          </cell>
        </row>
        <row r="271">
          <cell r="BI271">
            <v>237</v>
          </cell>
        </row>
        <row r="272">
          <cell r="BI272">
            <v>14</v>
          </cell>
        </row>
        <row r="273">
          <cell r="BI273">
            <v>8</v>
          </cell>
        </row>
        <row r="274">
          <cell r="BI274">
            <v>157</v>
          </cell>
        </row>
        <row r="275">
          <cell r="BI275">
            <v>287</v>
          </cell>
        </row>
        <row r="276">
          <cell r="BI276">
            <v>146</v>
          </cell>
        </row>
        <row r="277">
          <cell r="BI277">
            <v>1</v>
          </cell>
        </row>
        <row r="278">
          <cell r="BI278">
            <v>7</v>
          </cell>
        </row>
        <row r="279">
          <cell r="BI279">
            <v>14</v>
          </cell>
        </row>
        <row r="280">
          <cell r="BI280">
            <v>3</v>
          </cell>
        </row>
        <row r="281">
          <cell r="BI281">
            <v>3</v>
          </cell>
        </row>
        <row r="282">
          <cell r="BI282">
            <v>60</v>
          </cell>
        </row>
        <row r="283">
          <cell r="BI283">
            <v>3</v>
          </cell>
        </row>
        <row r="284">
          <cell r="BI284">
            <v>2</v>
          </cell>
        </row>
        <row r="285">
          <cell r="BI285">
            <v>8</v>
          </cell>
        </row>
        <row r="286">
          <cell r="BI286">
            <v>246</v>
          </cell>
        </row>
        <row r="287">
          <cell r="BI287">
            <v>1512</v>
          </cell>
        </row>
        <row r="288">
          <cell r="BI288">
            <v>7</v>
          </cell>
        </row>
        <row r="289">
          <cell r="BI289">
            <v>27</v>
          </cell>
        </row>
        <row r="290">
          <cell r="BI290">
            <v>4</v>
          </cell>
        </row>
        <row r="291">
          <cell r="BI291">
            <v>4</v>
          </cell>
        </row>
        <row r="292">
          <cell r="BI292">
            <v>22</v>
          </cell>
        </row>
        <row r="293">
          <cell r="BI293">
            <v>36</v>
          </cell>
        </row>
        <row r="294">
          <cell r="BI294">
            <v>4</v>
          </cell>
        </row>
        <row r="295">
          <cell r="BI295">
            <v>15</v>
          </cell>
        </row>
        <row r="296">
          <cell r="BI296">
            <v>348</v>
          </cell>
        </row>
        <row r="297">
          <cell r="BI297">
            <v>446</v>
          </cell>
        </row>
        <row r="298">
          <cell r="BI298">
            <v>5</v>
          </cell>
        </row>
        <row r="299">
          <cell r="BI299">
            <v>17</v>
          </cell>
        </row>
        <row r="300">
          <cell r="BI300">
            <v>22</v>
          </cell>
        </row>
        <row r="301">
          <cell r="BI301">
            <v>57</v>
          </cell>
        </row>
        <row r="302">
          <cell r="BI302">
            <v>139</v>
          </cell>
        </row>
        <row r="303">
          <cell r="BI303">
            <v>29</v>
          </cell>
        </row>
        <row r="304">
          <cell r="BI304">
            <v>175</v>
          </cell>
        </row>
        <row r="305">
          <cell r="BI305">
            <v>75</v>
          </cell>
        </row>
        <row r="306">
          <cell r="BI306">
            <v>75</v>
          </cell>
        </row>
        <row r="307">
          <cell r="BI307">
            <v>1</v>
          </cell>
        </row>
        <row r="308">
          <cell r="BI308">
            <v>7</v>
          </cell>
        </row>
        <row r="309">
          <cell r="BI309">
            <v>6</v>
          </cell>
        </row>
        <row r="310">
          <cell r="BI310">
            <v>15</v>
          </cell>
        </row>
        <row r="311">
          <cell r="BI311">
            <v>7</v>
          </cell>
        </row>
        <row r="312">
          <cell r="BI312">
            <v>2</v>
          </cell>
        </row>
        <row r="313">
          <cell r="BI313">
            <v>5</v>
          </cell>
        </row>
        <row r="314">
          <cell r="BI314">
            <v>5</v>
          </cell>
        </row>
        <row r="315">
          <cell r="BI315">
            <v>11</v>
          </cell>
        </row>
        <row r="316">
          <cell r="BI316">
            <v>23</v>
          </cell>
        </row>
        <row r="317">
          <cell r="BI317">
            <v>7</v>
          </cell>
        </row>
        <row r="318">
          <cell r="BI318">
            <v>4</v>
          </cell>
        </row>
        <row r="319">
          <cell r="BI319">
            <v>7</v>
          </cell>
        </row>
        <row r="320">
          <cell r="BI320">
            <v>2.5</v>
          </cell>
        </row>
        <row r="321">
          <cell r="BI321">
            <v>21</v>
          </cell>
        </row>
        <row r="322">
          <cell r="BI322">
            <v>8</v>
          </cell>
        </row>
        <row r="323">
          <cell r="BI323">
            <v>3</v>
          </cell>
        </row>
        <row r="324">
          <cell r="BI324">
            <v>1</v>
          </cell>
        </row>
        <row r="325">
          <cell r="BI325">
            <v>63.5</v>
          </cell>
        </row>
        <row r="326">
          <cell r="BI326">
            <v>10.5</v>
          </cell>
        </row>
        <row r="327">
          <cell r="BI327">
            <v>69</v>
          </cell>
        </row>
        <row r="328">
          <cell r="BI328">
            <v>124</v>
          </cell>
        </row>
        <row r="329">
          <cell r="BI329">
            <v>114</v>
          </cell>
        </row>
        <row r="330">
          <cell r="BI330">
            <v>162</v>
          </cell>
        </row>
        <row r="331">
          <cell r="BI331">
            <v>7</v>
          </cell>
        </row>
        <row r="332">
          <cell r="BI332">
            <v>73</v>
          </cell>
        </row>
        <row r="333">
          <cell r="BI333">
            <v>19</v>
          </cell>
        </row>
        <row r="334">
          <cell r="BI334">
            <v>8</v>
          </cell>
        </row>
        <row r="335">
          <cell r="BI335">
            <v>51</v>
          </cell>
        </row>
        <row r="336">
          <cell r="BI336">
            <v>24</v>
          </cell>
        </row>
        <row r="337">
          <cell r="BI337">
            <v>108</v>
          </cell>
        </row>
        <row r="338">
          <cell r="BI338">
            <v>3</v>
          </cell>
        </row>
        <row r="339">
          <cell r="BI339">
            <v>6</v>
          </cell>
        </row>
        <row r="340">
          <cell r="BI340">
            <v>20.5</v>
          </cell>
        </row>
        <row r="341">
          <cell r="BI341">
            <v>90</v>
          </cell>
        </row>
        <row r="342">
          <cell r="BI342">
            <v>98</v>
          </cell>
        </row>
        <row r="343">
          <cell r="BI343">
            <v>97</v>
          </cell>
        </row>
        <row r="344">
          <cell r="BI344">
            <v>296</v>
          </cell>
        </row>
        <row r="345">
          <cell r="BI345">
            <v>17</v>
          </cell>
        </row>
        <row r="346">
          <cell r="BI346">
            <v>66.5</v>
          </cell>
        </row>
        <row r="347">
          <cell r="BI347">
            <v>66.5</v>
          </cell>
        </row>
        <row r="348">
          <cell r="BI348">
            <v>74</v>
          </cell>
        </row>
        <row r="349">
          <cell r="BI349">
            <v>185</v>
          </cell>
        </row>
        <row r="350">
          <cell r="BI350">
            <v>2</v>
          </cell>
        </row>
        <row r="351">
          <cell r="BI351">
            <v>69</v>
          </cell>
        </row>
        <row r="352">
          <cell r="BI352">
            <v>153</v>
          </cell>
        </row>
        <row r="353">
          <cell r="BI353">
            <v>67</v>
          </cell>
        </row>
        <row r="354">
          <cell r="BI354">
            <v>2</v>
          </cell>
        </row>
        <row r="355">
          <cell r="BI355">
            <v>414</v>
          </cell>
        </row>
        <row r="356">
          <cell r="BI356">
            <v>4</v>
          </cell>
        </row>
        <row r="357">
          <cell r="BI357">
            <v>66</v>
          </cell>
        </row>
        <row r="358">
          <cell r="BI358">
            <v>55</v>
          </cell>
        </row>
        <row r="359">
          <cell r="BI359">
            <v>6</v>
          </cell>
        </row>
        <row r="360">
          <cell r="BI360">
            <v>56.5</v>
          </cell>
        </row>
        <row r="361">
          <cell r="BI361">
            <v>43</v>
          </cell>
        </row>
        <row r="362">
          <cell r="BI362">
            <v>370</v>
          </cell>
        </row>
        <row r="363">
          <cell r="BI363">
            <v>29</v>
          </cell>
        </row>
        <row r="364">
          <cell r="BI364">
            <v>174</v>
          </cell>
        </row>
        <row r="365">
          <cell r="BI365">
            <v>78.5</v>
          </cell>
        </row>
        <row r="366">
          <cell r="BI366">
            <v>55</v>
          </cell>
        </row>
        <row r="367">
          <cell r="BI367">
            <v>59</v>
          </cell>
        </row>
        <row r="368">
          <cell r="BI368">
            <v>14.5</v>
          </cell>
        </row>
        <row r="369">
          <cell r="BI369">
            <v>3</v>
          </cell>
        </row>
        <row r="370">
          <cell r="BI370">
            <v>10</v>
          </cell>
        </row>
        <row r="371">
          <cell r="BI371">
            <v>1</v>
          </cell>
        </row>
        <row r="372">
          <cell r="BI372">
            <v>11</v>
          </cell>
        </row>
        <row r="373">
          <cell r="BI373">
            <v>14</v>
          </cell>
        </row>
        <row r="374">
          <cell r="BI374">
            <v>6</v>
          </cell>
        </row>
        <row r="375">
          <cell r="BI375">
            <v>269</v>
          </cell>
        </row>
        <row r="376">
          <cell r="BI376">
            <v>76</v>
          </cell>
        </row>
        <row r="377">
          <cell r="BI377">
            <v>127</v>
          </cell>
        </row>
        <row r="378">
          <cell r="BI378">
            <v>26</v>
          </cell>
        </row>
        <row r="379">
          <cell r="BI379">
            <v>11</v>
          </cell>
        </row>
        <row r="380">
          <cell r="BI380">
            <v>40</v>
          </cell>
        </row>
        <row r="381">
          <cell r="BI381">
            <v>7.5</v>
          </cell>
        </row>
        <row r="382">
          <cell r="BI382">
            <v>60.5</v>
          </cell>
        </row>
        <row r="383">
          <cell r="BI383">
            <v>94</v>
          </cell>
        </row>
        <row r="384">
          <cell r="BI384">
            <v>85</v>
          </cell>
        </row>
        <row r="385">
          <cell r="BI385">
            <v>58</v>
          </cell>
        </row>
        <row r="386">
          <cell r="BI386">
            <v>36.5</v>
          </cell>
        </row>
        <row r="387">
          <cell r="BI387">
            <v>77</v>
          </cell>
        </row>
        <row r="388">
          <cell r="BI388">
            <v>23</v>
          </cell>
        </row>
        <row r="389">
          <cell r="BI389">
            <v>21</v>
          </cell>
        </row>
        <row r="390">
          <cell r="BI390">
            <v>74</v>
          </cell>
        </row>
        <row r="391">
          <cell r="BI391">
            <v>2</v>
          </cell>
        </row>
        <row r="392">
          <cell r="BI392">
            <v>9</v>
          </cell>
        </row>
        <row r="393">
          <cell r="BI393">
            <v>116</v>
          </cell>
        </row>
        <row r="394">
          <cell r="BI394">
            <v>40</v>
          </cell>
        </row>
        <row r="395">
          <cell r="BI395">
            <v>2</v>
          </cell>
        </row>
        <row r="396">
          <cell r="BI396">
            <v>21</v>
          </cell>
        </row>
        <row r="397">
          <cell r="BI397">
            <v>10</v>
          </cell>
        </row>
        <row r="398">
          <cell r="BI398">
            <v>1</v>
          </cell>
        </row>
        <row r="399">
          <cell r="BI399">
            <v>20</v>
          </cell>
        </row>
        <row r="400">
          <cell r="BI400">
            <v>10</v>
          </cell>
        </row>
        <row r="401">
          <cell r="BI401">
            <v>9</v>
          </cell>
        </row>
        <row r="402">
          <cell r="BI402">
            <v>8</v>
          </cell>
        </row>
        <row r="403">
          <cell r="BI403">
            <v>98</v>
          </cell>
        </row>
        <row r="404">
          <cell r="BI404">
            <v>102</v>
          </cell>
        </row>
        <row r="405">
          <cell r="BI405">
            <v>11</v>
          </cell>
        </row>
        <row r="406">
          <cell r="BI406">
            <v>30.5</v>
          </cell>
        </row>
        <row r="407">
          <cell r="BI407">
            <v>64.5</v>
          </cell>
        </row>
        <row r="408">
          <cell r="BI408">
            <v>273</v>
          </cell>
        </row>
        <row r="409">
          <cell r="BI409">
            <v>5</v>
          </cell>
        </row>
        <row r="410">
          <cell r="BI410">
            <v>2</v>
          </cell>
        </row>
        <row r="411">
          <cell r="BI411">
            <v>2</v>
          </cell>
        </row>
        <row r="412">
          <cell r="BI412">
            <v>3</v>
          </cell>
        </row>
        <row r="413">
          <cell r="BI413">
            <v>7</v>
          </cell>
        </row>
        <row r="414">
          <cell r="BI414">
            <v>13</v>
          </cell>
        </row>
        <row r="415">
          <cell r="BI415">
            <v>93</v>
          </cell>
        </row>
        <row r="416">
          <cell r="BI416">
            <v>921</v>
          </cell>
        </row>
        <row r="417">
          <cell r="BI417">
            <v>178</v>
          </cell>
        </row>
        <row r="418">
          <cell r="BI418">
            <v>339</v>
          </cell>
        </row>
        <row r="419">
          <cell r="BI419">
            <v>256</v>
          </cell>
        </row>
        <row r="420">
          <cell r="BI420">
            <v>5</v>
          </cell>
        </row>
        <row r="421">
          <cell r="BI421">
            <v>100</v>
          </cell>
        </row>
        <row r="422">
          <cell r="BI422">
            <v>126</v>
          </cell>
        </row>
        <row r="423">
          <cell r="BI423">
            <v>220</v>
          </cell>
        </row>
        <row r="424">
          <cell r="BI424">
            <v>95</v>
          </cell>
        </row>
        <row r="425">
          <cell r="BI425">
            <v>35</v>
          </cell>
        </row>
        <row r="426">
          <cell r="BI426">
            <v>38</v>
          </cell>
        </row>
        <row r="427">
          <cell r="BI427">
            <v>28</v>
          </cell>
        </row>
        <row r="428">
          <cell r="BI428">
            <v>21</v>
          </cell>
        </row>
        <row r="429">
          <cell r="BI429">
            <v>2</v>
          </cell>
        </row>
        <row r="430">
          <cell r="BI430">
            <v>9</v>
          </cell>
        </row>
        <row r="431">
          <cell r="BI431">
            <v>8</v>
          </cell>
        </row>
        <row r="432">
          <cell r="BI432">
            <v>2</v>
          </cell>
        </row>
        <row r="433">
          <cell r="BI433">
            <v>11</v>
          </cell>
        </row>
        <row r="434">
          <cell r="BI434">
            <v>21</v>
          </cell>
        </row>
        <row r="435">
          <cell r="BI435">
            <v>10</v>
          </cell>
        </row>
        <row r="436">
          <cell r="BI436">
            <v>10</v>
          </cell>
        </row>
        <row r="437">
          <cell r="BI437">
            <v>110</v>
          </cell>
        </row>
        <row r="438">
          <cell r="BI438">
            <v>19.5</v>
          </cell>
        </row>
        <row r="439">
          <cell r="BI439">
            <v>194</v>
          </cell>
        </row>
        <row r="440">
          <cell r="BI440">
            <v>35</v>
          </cell>
        </row>
        <row r="441">
          <cell r="BI441">
            <v>58</v>
          </cell>
        </row>
        <row r="442">
          <cell r="BI442">
            <v>77.5</v>
          </cell>
        </row>
        <row r="443">
          <cell r="BI443">
            <v>41</v>
          </cell>
        </row>
        <row r="444">
          <cell r="BI444">
            <v>58</v>
          </cell>
        </row>
        <row r="445">
          <cell r="BI445">
            <v>101</v>
          </cell>
        </row>
        <row r="446">
          <cell r="BI446">
            <v>68</v>
          </cell>
        </row>
        <row r="447">
          <cell r="BI447">
            <v>11</v>
          </cell>
        </row>
        <row r="448">
          <cell r="BI448">
            <v>80</v>
          </cell>
        </row>
        <row r="449">
          <cell r="BI449">
            <v>63</v>
          </cell>
        </row>
        <row r="450">
          <cell r="BI450">
            <v>157</v>
          </cell>
        </row>
        <row r="451">
          <cell r="BI451">
            <v>54</v>
          </cell>
        </row>
        <row r="452">
          <cell r="BI452">
            <v>4</v>
          </cell>
        </row>
        <row r="453">
          <cell r="BI453">
            <v>20</v>
          </cell>
        </row>
        <row r="454">
          <cell r="BI454">
            <v>234</v>
          </cell>
        </row>
        <row r="455">
          <cell r="BI455">
            <v>17</v>
          </cell>
        </row>
        <row r="456">
          <cell r="BI456">
            <v>13</v>
          </cell>
        </row>
        <row r="457">
          <cell r="BI457">
            <v>102</v>
          </cell>
        </row>
        <row r="458">
          <cell r="BI458">
            <v>271</v>
          </cell>
        </row>
        <row r="459">
          <cell r="BI459">
            <v>351</v>
          </cell>
        </row>
        <row r="460">
          <cell r="BI460">
            <v>12</v>
          </cell>
        </row>
        <row r="461">
          <cell r="BI461">
            <v>4</v>
          </cell>
        </row>
        <row r="462">
          <cell r="BI462">
            <v>436</v>
          </cell>
        </row>
        <row r="463">
          <cell r="BI463">
            <v>6</v>
          </cell>
        </row>
        <row r="464">
          <cell r="BI464">
            <v>176</v>
          </cell>
        </row>
        <row r="465">
          <cell r="BI465">
            <v>16</v>
          </cell>
        </row>
        <row r="466">
          <cell r="BI466">
            <v>18</v>
          </cell>
        </row>
        <row r="467">
          <cell r="BI467">
            <v>3</v>
          </cell>
        </row>
        <row r="468">
          <cell r="BI468">
            <v>7</v>
          </cell>
        </row>
        <row r="469">
          <cell r="BI469">
            <v>9</v>
          </cell>
        </row>
        <row r="470">
          <cell r="BI470">
            <v>6</v>
          </cell>
        </row>
        <row r="471">
          <cell r="BI471">
            <v>1027</v>
          </cell>
        </row>
        <row r="472">
          <cell r="BI472">
            <v>90</v>
          </cell>
        </row>
        <row r="473">
          <cell r="BI473">
            <v>258</v>
          </cell>
        </row>
        <row r="474">
          <cell r="BI474">
            <v>245</v>
          </cell>
        </row>
        <row r="475">
          <cell r="BI475">
            <v>8</v>
          </cell>
        </row>
        <row r="476">
          <cell r="BI476">
            <v>5</v>
          </cell>
        </row>
        <row r="477">
          <cell r="BI477">
            <v>48</v>
          </cell>
        </row>
        <row r="478">
          <cell r="BI478">
            <v>12</v>
          </cell>
        </row>
        <row r="479">
          <cell r="BI479">
            <v>11</v>
          </cell>
        </row>
        <row r="480">
          <cell r="BI480">
            <v>3</v>
          </cell>
        </row>
        <row r="481">
          <cell r="BI481">
            <v>1</v>
          </cell>
        </row>
        <row r="482">
          <cell r="BI482">
            <v>6</v>
          </cell>
        </row>
        <row r="483">
          <cell r="BI483">
            <v>23</v>
          </cell>
        </row>
        <row r="484">
          <cell r="BI484">
            <v>6</v>
          </cell>
        </row>
        <row r="485">
          <cell r="BI485">
            <v>10</v>
          </cell>
        </row>
        <row r="486">
          <cell r="BI486">
            <v>17</v>
          </cell>
        </row>
        <row r="487">
          <cell r="BI487">
            <v>10</v>
          </cell>
        </row>
        <row r="488">
          <cell r="BI488">
            <v>20</v>
          </cell>
        </row>
        <row r="489">
          <cell r="BI489">
            <v>370</v>
          </cell>
        </row>
        <row r="490">
          <cell r="BI490">
            <v>119</v>
          </cell>
        </row>
        <row r="491">
          <cell r="BI491">
            <v>305</v>
          </cell>
        </row>
        <row r="492">
          <cell r="BI492">
            <v>141</v>
          </cell>
        </row>
        <row r="493">
          <cell r="BI493">
            <v>64</v>
          </cell>
        </row>
        <row r="494">
          <cell r="BI494">
            <v>123</v>
          </cell>
        </row>
        <row r="495">
          <cell r="BI495">
            <v>6</v>
          </cell>
        </row>
        <row r="496">
          <cell r="BI496">
            <v>191</v>
          </cell>
        </row>
        <row r="497">
          <cell r="BI497">
            <v>53</v>
          </cell>
        </row>
        <row r="498">
          <cell r="BI498">
            <v>30</v>
          </cell>
        </row>
        <row r="499">
          <cell r="BI499">
            <v>64</v>
          </cell>
        </row>
        <row r="500">
          <cell r="BI500">
            <v>51</v>
          </cell>
        </row>
        <row r="501">
          <cell r="BI501">
            <v>53</v>
          </cell>
        </row>
        <row r="502">
          <cell r="BI502">
            <v>53</v>
          </cell>
        </row>
        <row r="503">
          <cell r="BI503">
            <v>3</v>
          </cell>
        </row>
        <row r="504">
          <cell r="BI504">
            <v>11</v>
          </cell>
        </row>
        <row r="505">
          <cell r="BI505">
            <v>189</v>
          </cell>
        </row>
        <row r="506">
          <cell r="BI506">
            <v>99</v>
          </cell>
        </row>
        <row r="507">
          <cell r="BI507">
            <v>293</v>
          </cell>
        </row>
        <row r="508">
          <cell r="BI508">
            <v>221</v>
          </cell>
        </row>
        <row r="509">
          <cell r="BI509">
            <v>68</v>
          </cell>
        </row>
        <row r="510">
          <cell r="BI510">
            <v>6</v>
          </cell>
        </row>
        <row r="511">
          <cell r="BI511">
            <v>116</v>
          </cell>
        </row>
        <row r="512">
          <cell r="BI512">
            <v>284</v>
          </cell>
        </row>
        <row r="513">
          <cell r="BI513">
            <v>80</v>
          </cell>
        </row>
        <row r="514">
          <cell r="BI514">
            <v>71</v>
          </cell>
        </row>
        <row r="515">
          <cell r="BI515">
            <v>3</v>
          </cell>
        </row>
        <row r="516">
          <cell r="BI516">
            <v>49</v>
          </cell>
        </row>
        <row r="517">
          <cell r="BI517">
            <v>22</v>
          </cell>
        </row>
        <row r="518">
          <cell r="BI518">
            <v>14</v>
          </cell>
        </row>
        <row r="519">
          <cell r="BI519">
            <v>3</v>
          </cell>
        </row>
        <row r="520">
          <cell r="BI520">
            <v>11</v>
          </cell>
        </row>
        <row r="521">
          <cell r="BI521">
            <v>179</v>
          </cell>
        </row>
        <row r="522">
          <cell r="BI522">
            <v>392</v>
          </cell>
        </row>
        <row r="523">
          <cell r="BI523">
            <v>147</v>
          </cell>
        </row>
        <row r="524">
          <cell r="BI524">
            <v>490</v>
          </cell>
        </row>
        <row r="525">
          <cell r="BI525">
            <v>30</v>
          </cell>
        </row>
        <row r="526">
          <cell r="BI526">
            <v>71</v>
          </cell>
        </row>
        <row r="527">
          <cell r="BI527">
            <v>213</v>
          </cell>
        </row>
        <row r="528">
          <cell r="BI528">
            <v>34</v>
          </cell>
        </row>
        <row r="529">
          <cell r="BI529">
            <v>144</v>
          </cell>
        </row>
        <row r="530">
          <cell r="BI530">
            <v>253</v>
          </cell>
        </row>
        <row r="531">
          <cell r="BI531">
            <v>197</v>
          </cell>
        </row>
        <row r="532">
          <cell r="BI532">
            <v>192</v>
          </cell>
        </row>
        <row r="533">
          <cell r="BI533">
            <v>99</v>
          </cell>
        </row>
        <row r="534">
          <cell r="BI534">
            <v>42</v>
          </cell>
        </row>
        <row r="535">
          <cell r="BI535">
            <v>105</v>
          </cell>
        </row>
        <row r="536">
          <cell r="BI536">
            <v>419</v>
          </cell>
        </row>
        <row r="537">
          <cell r="BI537">
            <v>103</v>
          </cell>
        </row>
        <row r="538">
          <cell r="BI538">
            <v>129</v>
          </cell>
        </row>
        <row r="539">
          <cell r="BI539">
            <v>120</v>
          </cell>
        </row>
        <row r="540">
          <cell r="BI540">
            <v>121</v>
          </cell>
        </row>
        <row r="541">
          <cell r="BI541">
            <v>182</v>
          </cell>
        </row>
        <row r="542">
          <cell r="BI542">
            <v>3</v>
          </cell>
        </row>
        <row r="543">
          <cell r="BI543">
            <v>2</v>
          </cell>
        </row>
        <row r="544">
          <cell r="BI544">
            <v>2</v>
          </cell>
        </row>
        <row r="545">
          <cell r="BI545">
            <v>10</v>
          </cell>
        </row>
        <row r="546">
          <cell r="BI546">
            <v>4</v>
          </cell>
        </row>
        <row r="547">
          <cell r="BI547">
            <v>81</v>
          </cell>
        </row>
        <row r="548">
          <cell r="BI548">
            <v>18</v>
          </cell>
        </row>
        <row r="549">
          <cell r="BI549">
            <v>10</v>
          </cell>
        </row>
        <row r="550">
          <cell r="BI550">
            <v>8</v>
          </cell>
        </row>
        <row r="551">
          <cell r="BI551">
            <v>120</v>
          </cell>
        </row>
        <row r="552">
          <cell r="BI552">
            <v>378</v>
          </cell>
        </row>
        <row r="553">
          <cell r="BI553">
            <v>674</v>
          </cell>
        </row>
        <row r="554">
          <cell r="BI554">
            <v>10</v>
          </cell>
        </row>
        <row r="555">
          <cell r="BI555">
            <v>288</v>
          </cell>
        </row>
        <row r="556">
          <cell r="BI556">
            <v>74</v>
          </cell>
        </row>
        <row r="557">
          <cell r="BI557">
            <v>7</v>
          </cell>
        </row>
        <row r="558">
          <cell r="BI558">
            <v>110</v>
          </cell>
        </row>
        <row r="559">
          <cell r="BI559">
            <v>1</v>
          </cell>
        </row>
        <row r="560">
          <cell r="BI560">
            <v>131</v>
          </cell>
        </row>
        <row r="561">
          <cell r="BI561">
            <v>1002</v>
          </cell>
        </row>
        <row r="562">
          <cell r="BI562">
            <v>9</v>
          </cell>
        </row>
        <row r="563">
          <cell r="BI563">
            <v>454</v>
          </cell>
        </row>
        <row r="564">
          <cell r="BI564">
            <v>175</v>
          </cell>
        </row>
        <row r="565">
          <cell r="BI565">
            <v>132</v>
          </cell>
        </row>
        <row r="566">
          <cell r="BI566">
            <v>476</v>
          </cell>
        </row>
        <row r="567">
          <cell r="BI567">
            <v>95</v>
          </cell>
        </row>
        <row r="568">
          <cell r="BI568">
            <v>21</v>
          </cell>
        </row>
        <row r="569">
          <cell r="BI569">
            <v>4</v>
          </cell>
        </row>
        <row r="570">
          <cell r="BI570">
            <v>1</v>
          </cell>
        </row>
        <row r="571">
          <cell r="BI571">
            <v>12</v>
          </cell>
        </row>
        <row r="572">
          <cell r="BI572">
            <v>34</v>
          </cell>
        </row>
        <row r="573">
          <cell r="BI573">
            <v>34</v>
          </cell>
        </row>
        <row r="574">
          <cell r="BI574">
            <v>284</v>
          </cell>
        </row>
        <row r="575">
          <cell r="BI575">
            <v>52</v>
          </cell>
        </row>
        <row r="576">
          <cell r="BI576">
            <v>11</v>
          </cell>
        </row>
        <row r="577">
          <cell r="BI577">
            <v>5</v>
          </cell>
        </row>
        <row r="578">
          <cell r="BI578">
            <v>315</v>
          </cell>
        </row>
        <row r="579">
          <cell r="BI579">
            <v>684</v>
          </cell>
        </row>
        <row r="580">
          <cell r="BI580">
            <v>140</v>
          </cell>
        </row>
        <row r="581">
          <cell r="BI581">
            <v>117</v>
          </cell>
        </row>
        <row r="582">
          <cell r="BI582">
            <v>5</v>
          </cell>
        </row>
        <row r="583">
          <cell r="BI583">
            <v>37</v>
          </cell>
        </row>
        <row r="584">
          <cell r="BI584">
            <v>28</v>
          </cell>
        </row>
        <row r="585">
          <cell r="BI585">
            <v>45</v>
          </cell>
        </row>
        <row r="586">
          <cell r="BI586">
            <v>58</v>
          </cell>
        </row>
        <row r="587">
          <cell r="BI587">
            <v>89</v>
          </cell>
        </row>
        <row r="588">
          <cell r="BI588">
            <v>2</v>
          </cell>
        </row>
        <row r="589">
          <cell r="BI589">
            <v>1</v>
          </cell>
        </row>
        <row r="590">
          <cell r="BI590">
            <v>57</v>
          </cell>
        </row>
        <row r="591">
          <cell r="BI591">
            <v>69</v>
          </cell>
        </row>
        <row r="592">
          <cell r="BI592">
            <v>154</v>
          </cell>
        </row>
        <row r="593">
          <cell r="BI593">
            <v>3</v>
          </cell>
        </row>
        <row r="594">
          <cell r="BI594">
            <v>27</v>
          </cell>
        </row>
        <row r="595">
          <cell r="BI595">
            <v>1</v>
          </cell>
        </row>
        <row r="596">
          <cell r="BI596">
            <v>148</v>
          </cell>
        </row>
        <row r="597">
          <cell r="BI597">
            <v>66</v>
          </cell>
        </row>
        <row r="598">
          <cell r="BI598">
            <v>17</v>
          </cell>
        </row>
        <row r="599">
          <cell r="BI599">
            <v>34</v>
          </cell>
        </row>
        <row r="600">
          <cell r="BI600">
            <v>47</v>
          </cell>
        </row>
        <row r="601">
          <cell r="BI601">
            <v>109</v>
          </cell>
        </row>
        <row r="602">
          <cell r="BI602">
            <v>94.5</v>
          </cell>
        </row>
        <row r="603">
          <cell r="BI603">
            <v>64</v>
          </cell>
        </row>
        <row r="604">
          <cell r="BI604">
            <v>56</v>
          </cell>
        </row>
        <row r="605">
          <cell r="BI605">
            <v>174</v>
          </cell>
        </row>
        <row r="606">
          <cell r="BI606">
            <v>18</v>
          </cell>
        </row>
        <row r="607">
          <cell r="BI607">
            <v>37.5</v>
          </cell>
        </row>
        <row r="608">
          <cell r="BI608">
            <v>71.5</v>
          </cell>
        </row>
        <row r="609">
          <cell r="BI609">
            <v>74</v>
          </cell>
        </row>
        <row r="610">
          <cell r="BI610">
            <v>72</v>
          </cell>
        </row>
        <row r="611">
          <cell r="BI611">
            <v>18</v>
          </cell>
        </row>
        <row r="612">
          <cell r="BI612">
            <v>4</v>
          </cell>
        </row>
        <row r="613">
          <cell r="BI613">
            <v>165</v>
          </cell>
        </row>
        <row r="614">
          <cell r="BI614">
            <v>243</v>
          </cell>
        </row>
        <row r="615">
          <cell r="BI615">
            <v>2</v>
          </cell>
        </row>
        <row r="616">
          <cell r="BI616">
            <v>570</v>
          </cell>
        </row>
        <row r="617">
          <cell r="BI617">
            <v>34</v>
          </cell>
        </row>
        <row r="618">
          <cell r="BI618">
            <v>16</v>
          </cell>
        </row>
        <row r="619">
          <cell r="BI619">
            <v>83</v>
          </cell>
        </row>
        <row r="620">
          <cell r="BI620">
            <v>102</v>
          </cell>
        </row>
        <row r="621">
          <cell r="BI621">
            <v>4</v>
          </cell>
        </row>
        <row r="622">
          <cell r="BI622">
            <v>62</v>
          </cell>
        </row>
        <row r="623">
          <cell r="BI623">
            <v>130</v>
          </cell>
        </row>
        <row r="624">
          <cell r="BI624">
            <v>120</v>
          </cell>
        </row>
        <row r="625">
          <cell r="BI625">
            <v>286</v>
          </cell>
        </row>
        <row r="626">
          <cell r="BI626">
            <v>129</v>
          </cell>
        </row>
        <row r="627">
          <cell r="BI627">
            <v>80</v>
          </cell>
        </row>
        <row r="628">
          <cell r="BI628">
            <v>61</v>
          </cell>
        </row>
        <row r="629">
          <cell r="BI629">
            <v>60</v>
          </cell>
        </row>
        <row r="630">
          <cell r="BI630">
            <v>27</v>
          </cell>
        </row>
        <row r="631">
          <cell r="BI631">
            <v>161</v>
          </cell>
        </row>
        <row r="632">
          <cell r="BI632">
            <v>59</v>
          </cell>
        </row>
        <row r="633">
          <cell r="BI633">
            <v>220</v>
          </cell>
        </row>
        <row r="634">
          <cell r="BI634">
            <v>139</v>
          </cell>
        </row>
        <row r="635">
          <cell r="BI635">
            <v>44</v>
          </cell>
        </row>
        <row r="636">
          <cell r="BI636">
            <v>11</v>
          </cell>
        </row>
        <row r="637">
          <cell r="BI637">
            <v>74</v>
          </cell>
        </row>
        <row r="638">
          <cell r="BI638">
            <v>53</v>
          </cell>
        </row>
        <row r="639">
          <cell r="BI639">
            <v>391</v>
          </cell>
        </row>
        <row r="640">
          <cell r="BI640">
            <v>36</v>
          </cell>
        </row>
        <row r="641">
          <cell r="BI641">
            <v>399</v>
          </cell>
        </row>
        <row r="642">
          <cell r="BI642">
            <v>61</v>
          </cell>
        </row>
        <row r="643">
          <cell r="BI643">
            <v>11</v>
          </cell>
        </row>
        <row r="644">
          <cell r="BI644">
            <v>137</v>
          </cell>
        </row>
        <row r="645">
          <cell r="BI645">
            <v>1</v>
          </cell>
        </row>
        <row r="646">
          <cell r="BI646">
            <v>3</v>
          </cell>
        </row>
        <row r="647">
          <cell r="BI647">
            <v>72</v>
          </cell>
        </row>
        <row r="648">
          <cell r="BI648">
            <v>20</v>
          </cell>
        </row>
        <row r="649">
          <cell r="BI649">
            <v>90</v>
          </cell>
        </row>
        <row r="650">
          <cell r="BI650">
            <v>41</v>
          </cell>
        </row>
        <row r="651">
          <cell r="BI651">
            <v>43</v>
          </cell>
        </row>
        <row r="652">
          <cell r="BI652">
            <v>107</v>
          </cell>
        </row>
        <row r="653">
          <cell r="BI653">
            <v>52</v>
          </cell>
        </row>
        <row r="654">
          <cell r="BI654">
            <v>80</v>
          </cell>
        </row>
        <row r="655">
          <cell r="BI655">
            <v>22</v>
          </cell>
        </row>
        <row r="656">
          <cell r="BI656">
            <v>7</v>
          </cell>
        </row>
        <row r="657">
          <cell r="BI657">
            <v>4</v>
          </cell>
        </row>
        <row r="658">
          <cell r="BI658">
            <v>1</v>
          </cell>
        </row>
        <row r="659">
          <cell r="BI659">
            <v>263</v>
          </cell>
        </row>
        <row r="660">
          <cell r="BI660">
            <v>33</v>
          </cell>
        </row>
        <row r="661">
          <cell r="BI661">
            <v>43</v>
          </cell>
        </row>
        <row r="662">
          <cell r="BI662">
            <v>156</v>
          </cell>
        </row>
        <row r="663">
          <cell r="BI663">
            <v>4</v>
          </cell>
        </row>
        <row r="664">
          <cell r="BI664">
            <v>292</v>
          </cell>
        </row>
        <row r="665">
          <cell r="BI665">
            <v>13</v>
          </cell>
        </row>
        <row r="666">
          <cell r="BI666">
            <v>295</v>
          </cell>
        </row>
        <row r="667">
          <cell r="BI667">
            <v>20</v>
          </cell>
        </row>
        <row r="668">
          <cell r="BI668">
            <v>41</v>
          </cell>
        </row>
        <row r="669">
          <cell r="BI669">
            <v>9</v>
          </cell>
        </row>
        <row r="670">
          <cell r="BI670">
            <v>418</v>
          </cell>
        </row>
        <row r="671">
          <cell r="BI671">
            <v>205</v>
          </cell>
        </row>
        <row r="672">
          <cell r="BI672">
            <v>162</v>
          </cell>
        </row>
        <row r="673">
          <cell r="BI673">
            <v>10</v>
          </cell>
        </row>
        <row r="674">
          <cell r="BI674">
            <v>7</v>
          </cell>
        </row>
        <row r="675">
          <cell r="BI675">
            <v>19</v>
          </cell>
        </row>
        <row r="676">
          <cell r="BI676">
            <v>177</v>
          </cell>
        </row>
        <row r="677">
          <cell r="BI677">
            <v>51</v>
          </cell>
        </row>
        <row r="678">
          <cell r="BI678">
            <v>28</v>
          </cell>
        </row>
        <row r="679">
          <cell r="BI679">
            <v>18</v>
          </cell>
        </row>
        <row r="680">
          <cell r="BI680">
            <v>4</v>
          </cell>
        </row>
        <row r="681">
          <cell r="BI681">
            <v>14</v>
          </cell>
        </row>
        <row r="682">
          <cell r="BI682">
            <v>167</v>
          </cell>
        </row>
        <row r="683">
          <cell r="BI683">
            <v>153</v>
          </cell>
        </row>
        <row r="684">
          <cell r="BI684">
            <v>49</v>
          </cell>
        </row>
        <row r="685">
          <cell r="BI685">
            <v>11</v>
          </cell>
        </row>
        <row r="686">
          <cell r="BI686">
            <v>76</v>
          </cell>
        </row>
        <row r="687">
          <cell r="BI687">
            <v>4</v>
          </cell>
        </row>
        <row r="688">
          <cell r="BI688">
            <v>99</v>
          </cell>
        </row>
        <row r="689">
          <cell r="BI689">
            <v>21</v>
          </cell>
        </row>
        <row r="690">
          <cell r="BI690">
            <v>243</v>
          </cell>
        </row>
        <row r="691">
          <cell r="BI691">
            <v>18</v>
          </cell>
        </row>
        <row r="692">
          <cell r="BI692">
            <v>38</v>
          </cell>
        </row>
        <row r="693">
          <cell r="BI693">
            <v>40</v>
          </cell>
        </row>
        <row r="694">
          <cell r="BI694">
            <v>27</v>
          </cell>
        </row>
        <row r="695">
          <cell r="BI695">
            <v>40</v>
          </cell>
        </row>
        <row r="696">
          <cell r="BI696">
            <v>45</v>
          </cell>
        </row>
        <row r="697">
          <cell r="BI697">
            <v>45</v>
          </cell>
        </row>
        <row r="698">
          <cell r="BI698">
            <v>8</v>
          </cell>
        </row>
        <row r="699">
          <cell r="BI699">
            <v>3</v>
          </cell>
        </row>
        <row r="700">
          <cell r="BI700">
            <v>7</v>
          </cell>
        </row>
        <row r="701">
          <cell r="BI701">
            <v>2</v>
          </cell>
        </row>
        <row r="702">
          <cell r="BI702">
            <v>3</v>
          </cell>
        </row>
        <row r="703">
          <cell r="BI703">
            <v>6</v>
          </cell>
        </row>
        <row r="704">
          <cell r="BI704">
            <v>36</v>
          </cell>
        </row>
        <row r="705">
          <cell r="BI705">
            <v>70</v>
          </cell>
        </row>
        <row r="706">
          <cell r="BI706">
            <v>10</v>
          </cell>
        </row>
        <row r="707">
          <cell r="BI707">
            <v>11</v>
          </cell>
        </row>
        <row r="708">
          <cell r="BI708">
            <v>5</v>
          </cell>
        </row>
        <row r="709">
          <cell r="BI709">
            <v>6</v>
          </cell>
        </row>
        <row r="710">
          <cell r="BI710">
            <v>15</v>
          </cell>
        </row>
        <row r="711">
          <cell r="BI711">
            <v>3</v>
          </cell>
        </row>
        <row r="712">
          <cell r="BI712">
            <v>5</v>
          </cell>
        </row>
        <row r="713">
          <cell r="BI713">
            <v>15</v>
          </cell>
        </row>
        <row r="714">
          <cell r="BI714">
            <v>13</v>
          </cell>
        </row>
        <row r="715">
          <cell r="BI715">
            <v>34</v>
          </cell>
        </row>
        <row r="716">
          <cell r="BI716">
            <v>67</v>
          </cell>
        </row>
        <row r="717">
          <cell r="BI717">
            <v>22</v>
          </cell>
        </row>
        <row r="718">
          <cell r="BI718">
            <v>41</v>
          </cell>
        </row>
        <row r="719">
          <cell r="BI719">
            <v>6</v>
          </cell>
        </row>
        <row r="720">
          <cell r="BI720">
            <v>8</v>
          </cell>
        </row>
        <row r="721">
          <cell r="BI721">
            <v>4</v>
          </cell>
        </row>
        <row r="722">
          <cell r="BI722">
            <v>88</v>
          </cell>
        </row>
        <row r="723">
          <cell r="BI723">
            <v>41</v>
          </cell>
        </row>
        <row r="724">
          <cell r="BI724">
            <v>16.5</v>
          </cell>
        </row>
        <row r="725">
          <cell r="BI725">
            <v>20</v>
          </cell>
        </row>
        <row r="726">
          <cell r="BI726">
            <v>17.5</v>
          </cell>
        </row>
        <row r="727">
          <cell r="BI727">
            <v>29</v>
          </cell>
        </row>
        <row r="728">
          <cell r="BI728">
            <v>84</v>
          </cell>
        </row>
        <row r="729">
          <cell r="BI729">
            <v>5</v>
          </cell>
        </row>
        <row r="730">
          <cell r="BI730">
            <v>31</v>
          </cell>
        </row>
        <row r="731">
          <cell r="BI731">
            <v>286</v>
          </cell>
        </row>
        <row r="732">
          <cell r="BI732">
            <v>16</v>
          </cell>
        </row>
        <row r="733">
          <cell r="BI733">
            <v>237</v>
          </cell>
        </row>
        <row r="734">
          <cell r="BI734">
            <v>9</v>
          </cell>
        </row>
        <row r="735">
          <cell r="BI735">
            <v>2</v>
          </cell>
        </row>
        <row r="736">
          <cell r="BI736">
            <v>151</v>
          </cell>
        </row>
        <row r="737">
          <cell r="BI737">
            <v>342</v>
          </cell>
        </row>
        <row r="738">
          <cell r="BI738">
            <v>55</v>
          </cell>
        </row>
        <row r="739">
          <cell r="BI739">
            <v>202</v>
          </cell>
        </row>
        <row r="740">
          <cell r="BI740">
            <v>72</v>
          </cell>
        </row>
        <row r="741">
          <cell r="BI741">
            <v>47</v>
          </cell>
        </row>
        <row r="742">
          <cell r="BI742">
            <v>1</v>
          </cell>
        </row>
        <row r="743">
          <cell r="BI743">
            <v>12</v>
          </cell>
        </row>
        <row r="744">
          <cell r="BI744">
            <v>10</v>
          </cell>
        </row>
        <row r="745">
          <cell r="BI745">
            <v>5</v>
          </cell>
        </row>
        <row r="746">
          <cell r="BI746">
            <v>27</v>
          </cell>
        </row>
        <row r="747">
          <cell r="BI747">
            <v>36</v>
          </cell>
        </row>
        <row r="748">
          <cell r="BI748">
            <v>5.5</v>
          </cell>
        </row>
        <row r="749">
          <cell r="BI749">
            <v>41</v>
          </cell>
        </row>
        <row r="750">
          <cell r="BI750">
            <v>5</v>
          </cell>
        </row>
        <row r="751">
          <cell r="BI751">
            <v>54</v>
          </cell>
        </row>
        <row r="752">
          <cell r="BI752">
            <v>57.5</v>
          </cell>
        </row>
        <row r="753">
          <cell r="BI753">
            <v>64</v>
          </cell>
        </row>
        <row r="754">
          <cell r="BI754">
            <v>61.5</v>
          </cell>
        </row>
        <row r="755">
          <cell r="BI755">
            <v>28.5</v>
          </cell>
        </row>
        <row r="756">
          <cell r="BI756">
            <v>61</v>
          </cell>
        </row>
        <row r="757">
          <cell r="BI757">
            <v>17</v>
          </cell>
        </row>
        <row r="758">
          <cell r="BI758">
            <v>9</v>
          </cell>
        </row>
        <row r="759">
          <cell r="BI759">
            <v>2</v>
          </cell>
        </row>
        <row r="760">
          <cell r="BI760">
            <v>59</v>
          </cell>
        </row>
        <row r="761">
          <cell r="BI761">
            <v>6</v>
          </cell>
        </row>
        <row r="762">
          <cell r="BI762">
            <v>90</v>
          </cell>
        </row>
        <row r="763">
          <cell r="BI763">
            <v>78</v>
          </cell>
        </row>
        <row r="764">
          <cell r="BI764">
            <v>6</v>
          </cell>
        </row>
        <row r="765">
          <cell r="BI765">
            <v>7</v>
          </cell>
        </row>
        <row r="766">
          <cell r="BI766">
            <v>129</v>
          </cell>
        </row>
        <row r="767">
          <cell r="BI767">
            <v>82</v>
          </cell>
        </row>
        <row r="768">
          <cell r="BI768">
            <v>114</v>
          </cell>
        </row>
        <row r="769">
          <cell r="BI769">
            <v>18</v>
          </cell>
        </row>
        <row r="770">
          <cell r="BI770">
            <v>20</v>
          </cell>
        </row>
        <row r="771">
          <cell r="BI771">
            <v>64</v>
          </cell>
        </row>
        <row r="772">
          <cell r="BI772">
            <v>4</v>
          </cell>
        </row>
        <row r="773">
          <cell r="BI773">
            <v>4</v>
          </cell>
        </row>
        <row r="774">
          <cell r="BI774">
            <v>14</v>
          </cell>
        </row>
        <row r="775">
          <cell r="BI775">
            <v>114</v>
          </cell>
        </row>
        <row r="776">
          <cell r="BI776">
            <v>45</v>
          </cell>
        </row>
        <row r="777">
          <cell r="BI777">
            <v>15</v>
          </cell>
        </row>
        <row r="778">
          <cell r="BI778">
            <v>22</v>
          </cell>
        </row>
        <row r="779">
          <cell r="BI779">
            <v>7</v>
          </cell>
        </row>
        <row r="780">
          <cell r="BI780">
            <v>5</v>
          </cell>
        </row>
        <row r="781">
          <cell r="BI781">
            <v>13</v>
          </cell>
        </row>
        <row r="782">
          <cell r="BI782">
            <v>10</v>
          </cell>
        </row>
        <row r="783">
          <cell r="BI783">
            <v>4</v>
          </cell>
        </row>
        <row r="784">
          <cell r="BI784">
            <v>119</v>
          </cell>
        </row>
        <row r="785">
          <cell r="BI785">
            <v>10</v>
          </cell>
        </row>
        <row r="786">
          <cell r="BI786">
            <v>17</v>
          </cell>
        </row>
        <row r="787">
          <cell r="BI787">
            <v>5</v>
          </cell>
        </row>
        <row r="788">
          <cell r="BI788">
            <v>97</v>
          </cell>
        </row>
        <row r="789">
          <cell r="BI789">
            <v>4</v>
          </cell>
        </row>
        <row r="790">
          <cell r="BI790">
            <v>45</v>
          </cell>
        </row>
        <row r="791">
          <cell r="BI791">
            <v>44</v>
          </cell>
        </row>
        <row r="792">
          <cell r="BI792">
            <v>63</v>
          </cell>
        </row>
        <row r="793">
          <cell r="BI793">
            <v>20</v>
          </cell>
        </row>
        <row r="794">
          <cell r="BI794">
            <v>73</v>
          </cell>
        </row>
        <row r="795">
          <cell r="BI795">
            <v>19</v>
          </cell>
        </row>
        <row r="796">
          <cell r="BI796">
            <v>10.5</v>
          </cell>
        </row>
        <row r="797">
          <cell r="BI797">
            <v>24</v>
          </cell>
        </row>
        <row r="798">
          <cell r="BI798">
            <v>10</v>
          </cell>
        </row>
        <row r="799">
          <cell r="BI799">
            <v>7</v>
          </cell>
        </row>
        <row r="800">
          <cell r="BI800">
            <v>1</v>
          </cell>
        </row>
        <row r="801">
          <cell r="BI801">
            <v>25</v>
          </cell>
        </row>
        <row r="802">
          <cell r="BI802">
            <v>1</v>
          </cell>
        </row>
        <row r="803">
          <cell r="BI803">
            <v>90</v>
          </cell>
        </row>
        <row r="804">
          <cell r="BI804">
            <v>78</v>
          </cell>
        </row>
        <row r="805">
          <cell r="BI805">
            <v>21</v>
          </cell>
        </row>
        <row r="806">
          <cell r="BI806">
            <v>6</v>
          </cell>
        </row>
        <row r="807">
          <cell r="BI807">
            <v>32</v>
          </cell>
        </row>
        <row r="808">
          <cell r="BI808">
            <v>6</v>
          </cell>
        </row>
        <row r="809">
          <cell r="BI809">
            <v>9</v>
          </cell>
        </row>
        <row r="810">
          <cell r="BI810">
            <v>41</v>
          </cell>
        </row>
        <row r="811">
          <cell r="BI811">
            <v>44</v>
          </cell>
        </row>
        <row r="812">
          <cell r="BI812">
            <v>195</v>
          </cell>
        </row>
        <row r="813">
          <cell r="BI813">
            <v>154</v>
          </cell>
        </row>
        <row r="814">
          <cell r="BI814">
            <v>3</v>
          </cell>
        </row>
        <row r="815">
          <cell r="BI815">
            <v>3</v>
          </cell>
        </row>
        <row r="816">
          <cell r="BI816">
            <v>16</v>
          </cell>
        </row>
        <row r="817">
          <cell r="BI817">
            <v>18</v>
          </cell>
        </row>
        <row r="818">
          <cell r="BI818">
            <v>34</v>
          </cell>
        </row>
        <row r="819">
          <cell r="BI819">
            <v>36</v>
          </cell>
        </row>
        <row r="820">
          <cell r="BI820">
            <v>7</v>
          </cell>
        </row>
        <row r="821">
          <cell r="BI821">
            <v>28</v>
          </cell>
        </row>
        <row r="822">
          <cell r="BI822">
            <v>11</v>
          </cell>
        </row>
        <row r="823">
          <cell r="BI823">
            <v>19</v>
          </cell>
        </row>
        <row r="824">
          <cell r="BI824">
            <v>23</v>
          </cell>
        </row>
        <row r="825">
          <cell r="BI825">
            <v>97</v>
          </cell>
        </row>
        <row r="826">
          <cell r="BI826">
            <v>236</v>
          </cell>
        </row>
        <row r="827">
          <cell r="BI827">
            <v>38</v>
          </cell>
        </row>
        <row r="828">
          <cell r="BI828">
            <v>11</v>
          </cell>
        </row>
        <row r="829">
          <cell r="BI829">
            <v>113</v>
          </cell>
        </row>
        <row r="830">
          <cell r="BI830">
            <v>43</v>
          </cell>
        </row>
        <row r="831">
          <cell r="BI831">
            <v>409</v>
          </cell>
        </row>
        <row r="832">
          <cell r="BI832">
            <v>81</v>
          </cell>
        </row>
        <row r="833">
          <cell r="BI833">
            <v>6</v>
          </cell>
        </row>
        <row r="834">
          <cell r="BI834">
            <v>63</v>
          </cell>
        </row>
        <row r="835">
          <cell r="BI835">
            <v>15</v>
          </cell>
        </row>
        <row r="836">
          <cell r="BI836">
            <v>177</v>
          </cell>
        </row>
        <row r="837">
          <cell r="BI837">
            <v>3</v>
          </cell>
        </row>
        <row r="838">
          <cell r="BI838">
            <v>365</v>
          </cell>
        </row>
        <row r="839">
          <cell r="BI839">
            <v>74</v>
          </cell>
        </row>
        <row r="840">
          <cell r="BI840">
            <v>95</v>
          </cell>
        </row>
        <row r="841">
          <cell r="BI841">
            <v>47</v>
          </cell>
        </row>
        <row r="842">
          <cell r="BI842">
            <v>6</v>
          </cell>
        </row>
        <row r="843">
          <cell r="BI843">
            <v>35</v>
          </cell>
        </row>
        <row r="844">
          <cell r="BI844">
            <v>120</v>
          </cell>
        </row>
        <row r="845">
          <cell r="BI845">
            <v>17</v>
          </cell>
        </row>
        <row r="846">
          <cell r="BI846">
            <v>177</v>
          </cell>
        </row>
        <row r="847">
          <cell r="BI847">
            <v>25</v>
          </cell>
        </row>
        <row r="848">
          <cell r="BI848">
            <v>273</v>
          </cell>
        </row>
        <row r="849">
          <cell r="BI849">
            <v>25</v>
          </cell>
        </row>
        <row r="850">
          <cell r="BI850">
            <v>56</v>
          </cell>
        </row>
        <row r="851">
          <cell r="BI851">
            <v>8</v>
          </cell>
        </row>
        <row r="852">
          <cell r="BI852">
            <v>34</v>
          </cell>
        </row>
        <row r="853">
          <cell r="BI853">
            <v>239</v>
          </cell>
        </row>
        <row r="854">
          <cell r="BI854">
            <v>332</v>
          </cell>
        </row>
        <row r="855">
          <cell r="BI855">
            <v>6</v>
          </cell>
        </row>
        <row r="856">
          <cell r="BI856">
            <v>10</v>
          </cell>
        </row>
        <row r="857">
          <cell r="BI857">
            <v>5</v>
          </cell>
        </row>
        <row r="858">
          <cell r="BI858">
            <v>12</v>
          </cell>
        </row>
        <row r="859">
          <cell r="BI859">
            <v>11</v>
          </cell>
        </row>
        <row r="860">
          <cell r="BI860">
            <v>5</v>
          </cell>
        </row>
        <row r="861">
          <cell r="BI861">
            <v>3</v>
          </cell>
        </row>
        <row r="862">
          <cell r="BI862">
            <v>212</v>
          </cell>
        </row>
        <row r="863">
          <cell r="BI863">
            <v>38</v>
          </cell>
        </row>
        <row r="864">
          <cell r="BI864">
            <v>173</v>
          </cell>
        </row>
        <row r="865">
          <cell r="BI865">
            <v>5</v>
          </cell>
        </row>
        <row r="866">
          <cell r="BI866">
            <v>372</v>
          </cell>
        </row>
        <row r="867">
          <cell r="BI867">
            <v>101</v>
          </cell>
        </row>
        <row r="868">
          <cell r="BI868">
            <v>132</v>
          </cell>
        </row>
        <row r="869">
          <cell r="BI869">
            <v>41</v>
          </cell>
        </row>
        <row r="870">
          <cell r="BI870">
            <v>273</v>
          </cell>
        </row>
        <row r="871">
          <cell r="BI871">
            <v>29</v>
          </cell>
        </row>
        <row r="872">
          <cell r="BI872">
            <v>8</v>
          </cell>
        </row>
        <row r="873">
          <cell r="BI873">
            <v>3</v>
          </cell>
        </row>
        <row r="874">
          <cell r="BI874">
            <v>42</v>
          </cell>
        </row>
        <row r="875">
          <cell r="BI875">
            <v>7</v>
          </cell>
        </row>
        <row r="876">
          <cell r="BI876">
            <v>27</v>
          </cell>
        </row>
        <row r="877">
          <cell r="BI877">
            <v>15.5</v>
          </cell>
        </row>
        <row r="878">
          <cell r="BI878">
            <v>10</v>
          </cell>
        </row>
        <row r="879">
          <cell r="BI879">
            <v>16</v>
          </cell>
        </row>
        <row r="880">
          <cell r="BI880">
            <v>25.5</v>
          </cell>
        </row>
        <row r="881">
          <cell r="BI881">
            <v>102</v>
          </cell>
        </row>
        <row r="882">
          <cell r="BI882">
            <v>104</v>
          </cell>
        </row>
        <row r="883">
          <cell r="BI883">
            <v>2</v>
          </cell>
        </row>
        <row r="884">
          <cell r="BI884">
            <v>57</v>
          </cell>
        </row>
        <row r="885">
          <cell r="BI885">
            <v>95</v>
          </cell>
        </row>
        <row r="886">
          <cell r="BI886">
            <v>34</v>
          </cell>
        </row>
        <row r="887">
          <cell r="BI887">
            <v>10</v>
          </cell>
        </row>
        <row r="888">
          <cell r="BI888">
            <v>12</v>
          </cell>
        </row>
        <row r="889">
          <cell r="BI889">
            <v>34</v>
          </cell>
        </row>
        <row r="890">
          <cell r="BI890">
            <v>20</v>
          </cell>
        </row>
        <row r="891">
          <cell r="BI891">
            <v>11</v>
          </cell>
        </row>
        <row r="892">
          <cell r="BI892">
            <v>75</v>
          </cell>
        </row>
        <row r="893">
          <cell r="BI893">
            <v>229</v>
          </cell>
        </row>
        <row r="894">
          <cell r="BI894">
            <v>84</v>
          </cell>
        </row>
        <row r="895">
          <cell r="BI895">
            <v>59</v>
          </cell>
        </row>
        <row r="896">
          <cell r="BI896">
            <v>33</v>
          </cell>
        </row>
        <row r="897">
          <cell r="BI897">
            <v>20</v>
          </cell>
        </row>
        <row r="898">
          <cell r="BI898">
            <v>138</v>
          </cell>
        </row>
        <row r="899">
          <cell r="BI899">
            <v>15</v>
          </cell>
        </row>
        <row r="900">
          <cell r="BI900">
            <v>44</v>
          </cell>
        </row>
        <row r="901">
          <cell r="BI901">
            <v>79</v>
          </cell>
        </row>
        <row r="902">
          <cell r="BI902">
            <v>40</v>
          </cell>
        </row>
        <row r="903">
          <cell r="BI903">
            <v>33</v>
          </cell>
        </row>
        <row r="904">
          <cell r="BI904">
            <v>51</v>
          </cell>
        </row>
        <row r="905">
          <cell r="BI905">
            <v>98</v>
          </cell>
        </row>
        <row r="906">
          <cell r="BI906">
            <v>147</v>
          </cell>
        </row>
        <row r="907">
          <cell r="BI907">
            <v>71</v>
          </cell>
        </row>
        <row r="908">
          <cell r="BI908">
            <v>71</v>
          </cell>
        </row>
        <row r="909">
          <cell r="BI909">
            <v>104</v>
          </cell>
        </row>
        <row r="910">
          <cell r="BI910">
            <v>161</v>
          </cell>
        </row>
        <row r="911">
          <cell r="BI911">
            <v>131</v>
          </cell>
        </row>
        <row r="912">
          <cell r="BI912">
            <v>161</v>
          </cell>
        </row>
        <row r="913">
          <cell r="BI913">
            <v>23</v>
          </cell>
        </row>
        <row r="914">
          <cell r="BI914">
            <v>79</v>
          </cell>
        </row>
        <row r="915">
          <cell r="BI915">
            <v>1</v>
          </cell>
        </row>
        <row r="916">
          <cell r="BI916">
            <v>106</v>
          </cell>
        </row>
        <row r="917">
          <cell r="BI917">
            <v>92</v>
          </cell>
        </row>
        <row r="918">
          <cell r="BI918">
            <v>184</v>
          </cell>
        </row>
        <row r="919">
          <cell r="BI919">
            <v>198</v>
          </cell>
        </row>
        <row r="920">
          <cell r="BI920">
            <v>60</v>
          </cell>
        </row>
        <row r="921">
          <cell r="BI921">
            <v>19</v>
          </cell>
        </row>
        <row r="922">
          <cell r="BI922">
            <v>74</v>
          </cell>
        </row>
        <row r="923">
          <cell r="BI923">
            <v>220</v>
          </cell>
        </row>
        <row r="924">
          <cell r="BI924">
            <v>16</v>
          </cell>
        </row>
        <row r="925">
          <cell r="BI925">
            <v>61</v>
          </cell>
        </row>
        <row r="926">
          <cell r="BI926">
            <v>61</v>
          </cell>
        </row>
        <row r="927">
          <cell r="BI927">
            <v>8</v>
          </cell>
        </row>
        <row r="928">
          <cell r="BI928">
            <v>29</v>
          </cell>
        </row>
        <row r="929">
          <cell r="BI929">
            <v>2</v>
          </cell>
        </row>
        <row r="930">
          <cell r="BI930">
            <v>142</v>
          </cell>
        </row>
        <row r="931">
          <cell r="BI931">
            <v>27</v>
          </cell>
        </row>
        <row r="932">
          <cell r="BI932">
            <v>130</v>
          </cell>
        </row>
        <row r="933">
          <cell r="BI933">
            <v>261</v>
          </cell>
        </row>
        <row r="934">
          <cell r="BI934">
            <v>49</v>
          </cell>
        </row>
        <row r="935">
          <cell r="BI935">
            <v>119</v>
          </cell>
        </row>
        <row r="936">
          <cell r="BI936">
            <v>22</v>
          </cell>
        </row>
        <row r="937">
          <cell r="BI937">
            <v>174</v>
          </cell>
        </row>
        <row r="938">
          <cell r="BI938">
            <v>15</v>
          </cell>
        </row>
        <row r="939">
          <cell r="BI939">
            <v>248</v>
          </cell>
        </row>
        <row r="940">
          <cell r="BI940">
            <v>121</v>
          </cell>
        </row>
        <row r="941">
          <cell r="BI941">
            <v>76</v>
          </cell>
        </row>
        <row r="942">
          <cell r="BI942">
            <v>46</v>
          </cell>
        </row>
        <row r="943">
          <cell r="BI943">
            <v>78</v>
          </cell>
        </row>
        <row r="944">
          <cell r="BI944">
            <v>154</v>
          </cell>
        </row>
        <row r="945">
          <cell r="BI945">
            <v>56</v>
          </cell>
        </row>
        <row r="946">
          <cell r="BI946">
            <v>25</v>
          </cell>
        </row>
        <row r="947">
          <cell r="BI947">
            <v>57</v>
          </cell>
        </row>
        <row r="948">
          <cell r="BI948">
            <v>154</v>
          </cell>
        </row>
        <row r="949">
          <cell r="BI949">
            <v>132</v>
          </cell>
        </row>
        <row r="950">
          <cell r="BI950">
            <v>5</v>
          </cell>
        </row>
        <row r="951">
          <cell r="BI951">
            <v>4</v>
          </cell>
        </row>
        <row r="952">
          <cell r="BI952">
            <v>31</v>
          </cell>
        </row>
        <row r="953">
          <cell r="BI953">
            <v>19.5</v>
          </cell>
        </row>
        <row r="954">
          <cell r="BI954">
            <v>4</v>
          </cell>
        </row>
        <row r="955">
          <cell r="BI955">
            <v>59</v>
          </cell>
        </row>
        <row r="956">
          <cell r="BI956">
            <v>37</v>
          </cell>
        </row>
        <row r="957">
          <cell r="BI957">
            <v>28.5</v>
          </cell>
        </row>
        <row r="958">
          <cell r="BI958">
            <v>26</v>
          </cell>
        </row>
        <row r="959">
          <cell r="BI959">
            <v>35</v>
          </cell>
        </row>
        <row r="960">
          <cell r="BI960">
            <v>23</v>
          </cell>
        </row>
        <row r="961">
          <cell r="BI961">
            <v>18</v>
          </cell>
        </row>
        <row r="962">
          <cell r="BI962">
            <v>1</v>
          </cell>
        </row>
        <row r="963">
          <cell r="BI963">
            <v>43</v>
          </cell>
        </row>
        <row r="964">
          <cell r="BI964">
            <v>14</v>
          </cell>
        </row>
        <row r="965">
          <cell r="BI965">
            <v>11</v>
          </cell>
        </row>
        <row r="966">
          <cell r="BI966">
            <v>5</v>
          </cell>
        </row>
        <row r="967">
          <cell r="BI967">
            <v>4</v>
          </cell>
        </row>
        <row r="968">
          <cell r="BI968">
            <v>19</v>
          </cell>
        </row>
        <row r="969">
          <cell r="BI969">
            <v>1</v>
          </cell>
        </row>
        <row r="970">
          <cell r="BI970">
            <v>24</v>
          </cell>
        </row>
        <row r="971">
          <cell r="BI971">
            <v>41</v>
          </cell>
        </row>
        <row r="972">
          <cell r="BI972">
            <v>5</v>
          </cell>
        </row>
        <row r="973">
          <cell r="BI973">
            <v>25</v>
          </cell>
        </row>
        <row r="974">
          <cell r="BI974">
            <v>28</v>
          </cell>
        </row>
        <row r="975">
          <cell r="BI975">
            <v>32</v>
          </cell>
        </row>
        <row r="976">
          <cell r="BI976">
            <v>24</v>
          </cell>
        </row>
        <row r="977">
          <cell r="BI977">
            <v>35</v>
          </cell>
        </row>
        <row r="978">
          <cell r="BI978">
            <v>37</v>
          </cell>
        </row>
        <row r="979">
          <cell r="BI979">
            <v>2</v>
          </cell>
        </row>
        <row r="980">
          <cell r="BI980">
            <v>123</v>
          </cell>
        </row>
        <row r="981">
          <cell r="BI981">
            <v>12</v>
          </cell>
        </row>
        <row r="982">
          <cell r="BI982">
            <v>27</v>
          </cell>
        </row>
        <row r="983">
          <cell r="BI983">
            <v>26</v>
          </cell>
        </row>
        <row r="984">
          <cell r="BI984">
            <v>35</v>
          </cell>
        </row>
        <row r="985">
          <cell r="BI985">
            <v>57</v>
          </cell>
        </row>
        <row r="986">
          <cell r="BI986">
            <v>2</v>
          </cell>
        </row>
        <row r="987">
          <cell r="BI987">
            <v>18</v>
          </cell>
        </row>
        <row r="988">
          <cell r="BI988">
            <v>12</v>
          </cell>
        </row>
        <row r="989">
          <cell r="BI989">
            <v>50</v>
          </cell>
        </row>
        <row r="990">
          <cell r="BI990">
            <v>13</v>
          </cell>
        </row>
        <row r="991">
          <cell r="BI991">
            <v>59</v>
          </cell>
        </row>
        <row r="992">
          <cell r="BI992">
            <v>227</v>
          </cell>
        </row>
        <row r="993">
          <cell r="BI993">
            <v>31</v>
          </cell>
        </row>
        <row r="994">
          <cell r="BI994">
            <v>26</v>
          </cell>
        </row>
        <row r="995">
          <cell r="BI995">
            <v>26.5</v>
          </cell>
        </row>
        <row r="996">
          <cell r="BI996">
            <v>162</v>
          </cell>
        </row>
        <row r="997">
          <cell r="BI997">
            <v>10</v>
          </cell>
        </row>
        <row r="998">
          <cell r="BI998">
            <v>318</v>
          </cell>
        </row>
        <row r="999">
          <cell r="BI999">
            <v>3</v>
          </cell>
        </row>
        <row r="1000">
          <cell r="BI1000">
            <v>5</v>
          </cell>
        </row>
        <row r="1001">
          <cell r="BI1001">
            <v>146</v>
          </cell>
        </row>
        <row r="1002">
          <cell r="BI1002">
            <v>2</v>
          </cell>
        </row>
        <row r="1003">
          <cell r="BI1003">
            <v>1</v>
          </cell>
        </row>
        <row r="1004">
          <cell r="BI1004">
            <v>5</v>
          </cell>
        </row>
        <row r="1005">
          <cell r="BI1005">
            <v>6</v>
          </cell>
        </row>
        <row r="1006">
          <cell r="BI1006">
            <v>66</v>
          </cell>
        </row>
        <row r="1007">
          <cell r="BI1007">
            <v>2</v>
          </cell>
        </row>
        <row r="1008">
          <cell r="BI1008">
            <v>61</v>
          </cell>
        </row>
        <row r="1009">
          <cell r="BI1009">
            <v>17</v>
          </cell>
        </row>
        <row r="1010">
          <cell r="BI1010">
            <v>6</v>
          </cell>
        </row>
        <row r="1011">
          <cell r="BI1011">
            <v>4</v>
          </cell>
        </row>
        <row r="1012">
          <cell r="BI1012">
            <v>11</v>
          </cell>
        </row>
        <row r="1013">
          <cell r="BI1013">
            <v>2</v>
          </cell>
        </row>
        <row r="1014">
          <cell r="BI1014">
            <v>8</v>
          </cell>
        </row>
        <row r="1015">
          <cell r="BI1015">
            <v>12</v>
          </cell>
        </row>
        <row r="1016">
          <cell r="BI1016">
            <v>6</v>
          </cell>
        </row>
        <row r="1017">
          <cell r="BI1017">
            <v>13</v>
          </cell>
        </row>
        <row r="1018">
          <cell r="BI1018">
            <v>42</v>
          </cell>
        </row>
        <row r="1019">
          <cell r="BI1019">
            <v>17</v>
          </cell>
        </row>
        <row r="1020">
          <cell r="BI1020">
            <v>7</v>
          </cell>
        </row>
        <row r="1021">
          <cell r="BI1021">
            <v>167</v>
          </cell>
        </row>
        <row r="1022">
          <cell r="BI1022">
            <v>15</v>
          </cell>
        </row>
        <row r="1023">
          <cell r="BI1023">
            <v>4</v>
          </cell>
        </row>
        <row r="1024">
          <cell r="BI1024">
            <v>39</v>
          </cell>
        </row>
        <row r="1025">
          <cell r="BI1025">
            <v>1</v>
          </cell>
        </row>
        <row r="1026">
          <cell r="BI1026">
            <v>217</v>
          </cell>
        </row>
        <row r="1027">
          <cell r="BI1027">
            <v>28</v>
          </cell>
        </row>
        <row r="1028">
          <cell r="BI1028">
            <v>71</v>
          </cell>
        </row>
        <row r="1029">
          <cell r="BI1029">
            <v>90</v>
          </cell>
        </row>
        <row r="1030">
          <cell r="BI1030">
            <v>22</v>
          </cell>
        </row>
        <row r="1031">
          <cell r="BI1031">
            <v>122</v>
          </cell>
        </row>
        <row r="1032">
          <cell r="BI1032">
            <v>67</v>
          </cell>
        </row>
        <row r="1033">
          <cell r="BI1033">
            <v>51</v>
          </cell>
        </row>
        <row r="1034">
          <cell r="BI1034">
            <v>113</v>
          </cell>
        </row>
        <row r="1035">
          <cell r="BI1035">
            <v>104</v>
          </cell>
        </row>
        <row r="1036">
          <cell r="BI1036">
            <v>50</v>
          </cell>
        </row>
        <row r="1037">
          <cell r="BI1037">
            <v>158</v>
          </cell>
        </row>
        <row r="1038">
          <cell r="BI1038">
            <v>62</v>
          </cell>
        </row>
        <row r="1039">
          <cell r="BI1039">
            <v>31</v>
          </cell>
        </row>
        <row r="1040">
          <cell r="BI1040">
            <v>65</v>
          </cell>
        </row>
        <row r="1041">
          <cell r="BI1041">
            <v>17</v>
          </cell>
        </row>
        <row r="1042">
          <cell r="BI1042">
            <v>2</v>
          </cell>
        </row>
        <row r="1043">
          <cell r="BI1043">
            <v>34</v>
          </cell>
        </row>
        <row r="1044">
          <cell r="BI1044">
            <v>67</v>
          </cell>
        </row>
        <row r="1045">
          <cell r="BI1045">
            <v>1</v>
          </cell>
        </row>
        <row r="1046">
          <cell r="BI1046">
            <v>83</v>
          </cell>
        </row>
        <row r="1047">
          <cell r="BI1047">
            <v>13.5</v>
          </cell>
        </row>
        <row r="1048">
          <cell r="BI1048">
            <v>22.5</v>
          </cell>
        </row>
        <row r="1049">
          <cell r="BI1049">
            <v>22</v>
          </cell>
        </row>
        <row r="1050">
          <cell r="BI1050">
            <v>5</v>
          </cell>
        </row>
        <row r="1051">
          <cell r="BI1051">
            <v>1.5</v>
          </cell>
        </row>
        <row r="1052">
          <cell r="BI1052">
            <v>3</v>
          </cell>
        </row>
        <row r="1053">
          <cell r="BI1053">
            <v>26.5</v>
          </cell>
        </row>
        <row r="1054">
          <cell r="BI1054">
            <v>90</v>
          </cell>
        </row>
        <row r="1055">
          <cell r="BI1055">
            <v>16</v>
          </cell>
        </row>
        <row r="1056">
          <cell r="BI1056">
            <v>24.5</v>
          </cell>
        </row>
        <row r="1057">
          <cell r="BI1057">
            <v>10.5</v>
          </cell>
        </row>
        <row r="1058">
          <cell r="BI1058">
            <v>126</v>
          </cell>
        </row>
        <row r="1059">
          <cell r="BI1059">
            <v>20</v>
          </cell>
        </row>
        <row r="1060">
          <cell r="BI1060">
            <v>30</v>
          </cell>
        </row>
        <row r="1061">
          <cell r="BI1061">
            <v>2</v>
          </cell>
        </row>
        <row r="1062">
          <cell r="BI1062">
            <v>18</v>
          </cell>
        </row>
        <row r="1063">
          <cell r="BI1063">
            <v>16</v>
          </cell>
        </row>
        <row r="1064">
          <cell r="BI1064">
            <v>6</v>
          </cell>
        </row>
        <row r="1065">
          <cell r="BI1065">
            <v>8</v>
          </cell>
        </row>
        <row r="1066">
          <cell r="BI1066">
            <v>23</v>
          </cell>
        </row>
        <row r="1067">
          <cell r="BI1067">
            <v>20</v>
          </cell>
        </row>
        <row r="1068">
          <cell r="BI1068">
            <v>7</v>
          </cell>
        </row>
        <row r="1069">
          <cell r="BI1069">
            <v>83</v>
          </cell>
        </row>
        <row r="1070">
          <cell r="BI1070">
            <v>12</v>
          </cell>
        </row>
        <row r="1071">
          <cell r="BI1071">
            <v>13</v>
          </cell>
        </row>
        <row r="1072">
          <cell r="BI1072">
            <v>46</v>
          </cell>
        </row>
        <row r="1073">
          <cell r="BI1073">
            <v>17.5</v>
          </cell>
        </row>
        <row r="1074">
          <cell r="BI1074">
            <v>33</v>
          </cell>
        </row>
        <row r="1075">
          <cell r="BI1075">
            <v>64</v>
          </cell>
        </row>
        <row r="1076">
          <cell r="BI1076">
            <v>38</v>
          </cell>
        </row>
        <row r="1077">
          <cell r="BI1077">
            <v>45</v>
          </cell>
        </row>
        <row r="1078">
          <cell r="BI1078">
            <v>76</v>
          </cell>
        </row>
        <row r="1079">
          <cell r="BI1079">
            <v>11</v>
          </cell>
        </row>
        <row r="1080">
          <cell r="BI1080">
            <v>10</v>
          </cell>
        </row>
        <row r="1081">
          <cell r="BI1081">
            <v>86</v>
          </cell>
        </row>
        <row r="1082">
          <cell r="BI1082">
            <v>71</v>
          </cell>
        </row>
        <row r="1083">
          <cell r="BI1083">
            <v>4</v>
          </cell>
        </row>
        <row r="1084">
          <cell r="BI1084">
            <v>74</v>
          </cell>
        </row>
        <row r="1085">
          <cell r="BI1085">
            <v>182</v>
          </cell>
        </row>
        <row r="1086">
          <cell r="BI1086">
            <v>59</v>
          </cell>
        </row>
        <row r="1087">
          <cell r="BI1087">
            <v>69</v>
          </cell>
        </row>
        <row r="1088">
          <cell r="BI1088">
            <v>44</v>
          </cell>
        </row>
        <row r="1089">
          <cell r="BI1089">
            <v>22.5</v>
          </cell>
        </row>
        <row r="1090">
          <cell r="BI1090">
            <v>4</v>
          </cell>
        </row>
        <row r="1091">
          <cell r="BI1091">
            <v>2</v>
          </cell>
        </row>
        <row r="1092">
          <cell r="BI1092">
            <v>9</v>
          </cell>
        </row>
        <row r="1093">
          <cell r="BI1093">
            <v>48.5</v>
          </cell>
        </row>
        <row r="1094">
          <cell r="BI1094">
            <v>17.5</v>
          </cell>
        </row>
        <row r="1095">
          <cell r="BI1095">
            <v>15</v>
          </cell>
        </row>
        <row r="1096">
          <cell r="BI1096">
            <v>7.5</v>
          </cell>
        </row>
        <row r="1097">
          <cell r="BI1097">
            <v>24</v>
          </cell>
        </row>
        <row r="1098">
          <cell r="BI1098">
            <v>46</v>
          </cell>
        </row>
        <row r="1099">
          <cell r="BI1099">
            <v>19</v>
          </cell>
        </row>
        <row r="1100">
          <cell r="BI1100">
            <v>11</v>
          </cell>
        </row>
        <row r="1101">
          <cell r="BI1101">
            <v>10.5</v>
          </cell>
        </row>
        <row r="1102">
          <cell r="BI1102">
            <v>31</v>
          </cell>
        </row>
        <row r="1103">
          <cell r="BI1103">
            <v>19</v>
          </cell>
        </row>
        <row r="1104">
          <cell r="BI1104">
            <v>24</v>
          </cell>
        </row>
        <row r="1105">
          <cell r="BI1105">
            <v>56</v>
          </cell>
        </row>
        <row r="1106">
          <cell r="BI1106">
            <v>58</v>
          </cell>
        </row>
        <row r="1107">
          <cell r="BI1107">
            <v>25</v>
          </cell>
        </row>
        <row r="1108">
          <cell r="BI1108">
            <v>0.5</v>
          </cell>
        </row>
        <row r="1109">
          <cell r="BI1109">
            <v>28.5</v>
          </cell>
        </row>
        <row r="1110">
          <cell r="BI1110">
            <v>32</v>
          </cell>
        </row>
        <row r="1111">
          <cell r="BI1111">
            <v>73</v>
          </cell>
        </row>
        <row r="1112">
          <cell r="BI1112">
            <v>30</v>
          </cell>
        </row>
        <row r="1113">
          <cell r="BI1113">
            <v>66.5</v>
          </cell>
        </row>
        <row r="1114">
          <cell r="BI1114">
            <v>26</v>
          </cell>
        </row>
        <row r="1115">
          <cell r="BI1115">
            <v>6</v>
          </cell>
        </row>
        <row r="1116">
          <cell r="BI1116">
            <v>14</v>
          </cell>
        </row>
        <row r="1117">
          <cell r="BI1117">
            <v>17</v>
          </cell>
        </row>
        <row r="1118">
          <cell r="BI1118">
            <v>18</v>
          </cell>
        </row>
        <row r="1119">
          <cell r="BI1119">
            <v>43</v>
          </cell>
        </row>
        <row r="1120">
          <cell r="BI1120">
            <v>17</v>
          </cell>
        </row>
        <row r="1121">
          <cell r="BI1121">
            <v>1</v>
          </cell>
        </row>
        <row r="1122">
          <cell r="BI1122">
            <v>2</v>
          </cell>
        </row>
        <row r="1123">
          <cell r="BI1123">
            <v>12</v>
          </cell>
        </row>
        <row r="1124">
          <cell r="BI1124">
            <v>2</v>
          </cell>
        </row>
        <row r="1125">
          <cell r="BI1125">
            <v>8</v>
          </cell>
        </row>
        <row r="1126">
          <cell r="BI1126">
            <v>16</v>
          </cell>
        </row>
        <row r="1127">
          <cell r="BI1127">
            <v>6</v>
          </cell>
        </row>
        <row r="1128">
          <cell r="BI1128">
            <v>5</v>
          </cell>
        </row>
        <row r="1129">
          <cell r="BI1129">
            <v>3</v>
          </cell>
        </row>
        <row r="1130">
          <cell r="BI1130">
            <v>8</v>
          </cell>
        </row>
        <row r="1131">
          <cell r="BI1131">
            <v>136</v>
          </cell>
        </row>
        <row r="1132">
          <cell r="BI1132">
            <v>80</v>
          </cell>
        </row>
        <row r="1133">
          <cell r="BI1133">
            <v>42</v>
          </cell>
        </row>
        <row r="1134">
          <cell r="BI1134">
            <v>219</v>
          </cell>
        </row>
        <row r="1135">
          <cell r="BI1135">
            <v>3</v>
          </cell>
        </row>
        <row r="1136">
          <cell r="BI1136">
            <v>1</v>
          </cell>
        </row>
        <row r="1137">
          <cell r="BI1137">
            <v>5</v>
          </cell>
        </row>
        <row r="1138">
          <cell r="BI1138">
            <v>11</v>
          </cell>
        </row>
        <row r="1139">
          <cell r="BI1139">
            <v>5</v>
          </cell>
        </row>
        <row r="1140">
          <cell r="BI1140">
            <v>17</v>
          </cell>
        </row>
        <row r="1141">
          <cell r="BI1141">
            <v>75</v>
          </cell>
        </row>
        <row r="1142">
          <cell r="BI1142">
            <v>56</v>
          </cell>
        </row>
        <row r="1143">
          <cell r="BI1143">
            <v>45</v>
          </cell>
        </row>
        <row r="1144">
          <cell r="BI1144">
            <v>252</v>
          </cell>
        </row>
        <row r="1145">
          <cell r="BI1145">
            <v>43</v>
          </cell>
        </row>
        <row r="1146">
          <cell r="BI1146">
            <v>25</v>
          </cell>
        </row>
        <row r="1147">
          <cell r="BI1147">
            <v>10</v>
          </cell>
        </row>
        <row r="1148">
          <cell r="BI1148">
            <v>8</v>
          </cell>
        </row>
        <row r="1149">
          <cell r="BI1149">
            <v>3</v>
          </cell>
        </row>
        <row r="1150">
          <cell r="BI1150">
            <v>40</v>
          </cell>
        </row>
        <row r="1151">
          <cell r="BI1151">
            <v>54</v>
          </cell>
        </row>
        <row r="1152">
          <cell r="BI1152">
            <v>7</v>
          </cell>
        </row>
        <row r="1153">
          <cell r="BI1153">
            <v>4</v>
          </cell>
        </row>
        <row r="1154">
          <cell r="BI1154">
            <v>4</v>
          </cell>
        </row>
        <row r="1155">
          <cell r="BI1155">
            <v>57</v>
          </cell>
        </row>
        <row r="1156">
          <cell r="BI1156">
            <v>3</v>
          </cell>
        </row>
        <row r="1157">
          <cell r="BI1157">
            <v>29</v>
          </cell>
        </row>
        <row r="1158">
          <cell r="BI1158">
            <v>22</v>
          </cell>
        </row>
        <row r="1159">
          <cell r="BI1159">
            <v>7</v>
          </cell>
        </row>
        <row r="1160">
          <cell r="BI1160">
            <v>1</v>
          </cell>
        </row>
        <row r="1161">
          <cell r="BI1161">
            <v>1</v>
          </cell>
        </row>
        <row r="1162">
          <cell r="BI1162">
            <v>4</v>
          </cell>
        </row>
        <row r="1163">
          <cell r="BI1163">
            <v>3</v>
          </cell>
        </row>
        <row r="1164">
          <cell r="BI1164">
            <v>21</v>
          </cell>
        </row>
        <row r="1165">
          <cell r="BI1165">
            <v>14</v>
          </cell>
        </row>
        <row r="1166">
          <cell r="BI1166">
            <v>9</v>
          </cell>
        </row>
        <row r="1167">
          <cell r="BI1167">
            <v>1</v>
          </cell>
        </row>
        <row r="1168">
          <cell r="BI1168">
            <v>6</v>
          </cell>
        </row>
        <row r="1169">
          <cell r="BI1169">
            <v>4</v>
          </cell>
        </row>
        <row r="1170">
          <cell r="BI1170">
            <v>115</v>
          </cell>
        </row>
        <row r="1171">
          <cell r="BI1171">
            <v>26</v>
          </cell>
        </row>
        <row r="1172">
          <cell r="BI1172">
            <v>70</v>
          </cell>
        </row>
        <row r="1173">
          <cell r="BI1173">
            <v>151</v>
          </cell>
        </row>
        <row r="1174">
          <cell r="BI1174">
            <v>36</v>
          </cell>
        </row>
        <row r="1175">
          <cell r="BI1175">
            <v>34</v>
          </cell>
        </row>
        <row r="1176">
          <cell r="BI1176">
            <v>4</v>
          </cell>
        </row>
        <row r="1177">
          <cell r="BI1177">
            <v>105</v>
          </cell>
        </row>
        <row r="1178">
          <cell r="BI1178">
            <v>1</v>
          </cell>
        </row>
        <row r="1179">
          <cell r="BI1179">
            <v>31</v>
          </cell>
        </row>
        <row r="1180">
          <cell r="BI1180">
            <v>17</v>
          </cell>
        </row>
        <row r="1181">
          <cell r="BI1181">
            <v>120</v>
          </cell>
        </row>
        <row r="1182">
          <cell r="BI1182">
            <v>77</v>
          </cell>
        </row>
        <row r="1183">
          <cell r="BI1183">
            <v>4</v>
          </cell>
        </row>
        <row r="1184">
          <cell r="BI1184">
            <v>121</v>
          </cell>
        </row>
        <row r="1185">
          <cell r="BI1185">
            <v>12</v>
          </cell>
        </row>
        <row r="1186">
          <cell r="BI1186">
            <v>71</v>
          </cell>
        </row>
        <row r="1187">
          <cell r="BI1187">
            <v>57</v>
          </cell>
        </row>
        <row r="1188">
          <cell r="BI1188">
            <v>19</v>
          </cell>
        </row>
        <row r="1189">
          <cell r="BI1189">
            <v>5</v>
          </cell>
        </row>
        <row r="1190">
          <cell r="BI1190">
            <v>52</v>
          </cell>
        </row>
        <row r="1191">
          <cell r="BI1191">
            <v>87</v>
          </cell>
        </row>
        <row r="1192">
          <cell r="BI1192">
            <v>260</v>
          </cell>
        </row>
        <row r="1193">
          <cell r="BI1193">
            <v>123</v>
          </cell>
        </row>
        <row r="1194">
          <cell r="BI1194">
            <v>30</v>
          </cell>
        </row>
        <row r="1195">
          <cell r="BI1195">
            <v>159</v>
          </cell>
        </row>
        <row r="1196">
          <cell r="BI1196">
            <v>40</v>
          </cell>
        </row>
        <row r="1197">
          <cell r="BI1197">
            <v>41</v>
          </cell>
        </row>
        <row r="1198">
          <cell r="BI1198">
            <v>11</v>
          </cell>
        </row>
        <row r="1199">
          <cell r="BI1199">
            <v>73</v>
          </cell>
        </row>
        <row r="1200">
          <cell r="BI1200">
            <v>8</v>
          </cell>
        </row>
        <row r="1201">
          <cell r="BI1201">
            <v>1</v>
          </cell>
        </row>
        <row r="1202">
          <cell r="BI1202">
            <v>5</v>
          </cell>
        </row>
        <row r="1203">
          <cell r="BI1203">
            <v>61</v>
          </cell>
        </row>
        <row r="1204">
          <cell r="BI1204">
            <v>42</v>
          </cell>
        </row>
        <row r="1205">
          <cell r="BI1205">
            <v>103</v>
          </cell>
        </row>
        <row r="1206">
          <cell r="BI1206">
            <v>4</v>
          </cell>
        </row>
        <row r="1207">
          <cell r="BI1207">
            <v>2</v>
          </cell>
        </row>
        <row r="1208">
          <cell r="BI1208">
            <v>30</v>
          </cell>
        </row>
        <row r="1209">
          <cell r="BI1209">
            <v>83</v>
          </cell>
        </row>
        <row r="1210">
          <cell r="BI1210">
            <v>60</v>
          </cell>
        </row>
        <row r="1211">
          <cell r="BI1211">
            <v>29.5</v>
          </cell>
        </row>
        <row r="1212">
          <cell r="BI1212">
            <v>49.5</v>
          </cell>
        </row>
        <row r="1213">
          <cell r="BI1213">
            <v>385</v>
          </cell>
        </row>
        <row r="1214">
          <cell r="BI1214">
            <v>71</v>
          </cell>
        </row>
        <row r="1215">
          <cell r="BI1215">
            <v>78</v>
          </cell>
        </row>
        <row r="1216">
          <cell r="BI1216">
            <v>9.5</v>
          </cell>
        </row>
        <row r="1217">
          <cell r="BI1217">
            <v>1</v>
          </cell>
        </row>
        <row r="1218">
          <cell r="BI1218">
            <v>15</v>
          </cell>
        </row>
        <row r="1219">
          <cell r="BI1219">
            <v>8</v>
          </cell>
        </row>
        <row r="1220">
          <cell r="BI1220">
            <v>369</v>
          </cell>
        </row>
        <row r="1221">
          <cell r="BI1221">
            <v>7</v>
          </cell>
        </row>
        <row r="1222">
          <cell r="BI1222">
            <v>6</v>
          </cell>
        </row>
        <row r="1223">
          <cell r="BI1223">
            <v>197</v>
          </cell>
        </row>
        <row r="1224">
          <cell r="BI1224">
            <v>4</v>
          </cell>
        </row>
        <row r="1225">
          <cell r="BI1225">
            <v>231</v>
          </cell>
        </row>
        <row r="1226">
          <cell r="BI1226">
            <v>75</v>
          </cell>
        </row>
        <row r="1227">
          <cell r="BI1227">
            <v>115</v>
          </cell>
        </row>
        <row r="1228">
          <cell r="BI1228">
            <v>9</v>
          </cell>
        </row>
        <row r="1229">
          <cell r="BI1229">
            <v>41</v>
          </cell>
        </row>
        <row r="1230">
          <cell r="BI1230">
            <v>87</v>
          </cell>
        </row>
        <row r="1231">
          <cell r="BI1231">
            <v>43</v>
          </cell>
        </row>
        <row r="1232">
          <cell r="BI1232">
            <v>78</v>
          </cell>
        </row>
        <row r="1233">
          <cell r="BI1233">
            <v>43</v>
          </cell>
        </row>
        <row r="1234">
          <cell r="BI1234">
            <v>46</v>
          </cell>
        </row>
        <row r="1235">
          <cell r="BI1235">
            <v>28</v>
          </cell>
        </row>
        <row r="1236">
          <cell r="BI1236">
            <v>1</v>
          </cell>
        </row>
        <row r="1237">
          <cell r="BI1237">
            <v>2</v>
          </cell>
        </row>
        <row r="1238">
          <cell r="BI1238">
            <v>11</v>
          </cell>
        </row>
        <row r="1239">
          <cell r="BI1239">
            <v>11.5</v>
          </cell>
        </row>
        <row r="1240">
          <cell r="BI1240">
            <v>14</v>
          </cell>
        </row>
        <row r="1241">
          <cell r="BI1241">
            <v>9</v>
          </cell>
        </row>
        <row r="1242">
          <cell r="BI1242">
            <v>4</v>
          </cell>
        </row>
        <row r="1243">
          <cell r="BI1243">
            <v>9</v>
          </cell>
        </row>
        <row r="1244">
          <cell r="BI1244">
            <v>66</v>
          </cell>
        </row>
        <row r="1245">
          <cell r="BI1245">
            <v>101</v>
          </cell>
        </row>
        <row r="1246">
          <cell r="BI1246">
            <v>64</v>
          </cell>
        </row>
        <row r="1247">
          <cell r="BI1247">
            <v>32</v>
          </cell>
        </row>
        <row r="1248">
          <cell r="BI1248">
            <v>5</v>
          </cell>
        </row>
        <row r="1249">
          <cell r="BI1249">
            <v>20</v>
          </cell>
        </row>
        <row r="1250">
          <cell r="BI1250">
            <v>80</v>
          </cell>
        </row>
        <row r="1251">
          <cell r="BI1251">
            <v>10</v>
          </cell>
        </row>
        <row r="1252">
          <cell r="BI1252">
            <v>20</v>
          </cell>
        </row>
        <row r="1253">
          <cell r="BI1253">
            <v>3</v>
          </cell>
        </row>
        <row r="1254">
          <cell r="BI1254">
            <v>4</v>
          </cell>
        </row>
        <row r="1255">
          <cell r="BI1255">
            <v>4</v>
          </cell>
        </row>
        <row r="1256">
          <cell r="BI1256">
            <v>2</v>
          </cell>
        </row>
        <row r="1257">
          <cell r="BI1257">
            <v>3</v>
          </cell>
        </row>
        <row r="1258">
          <cell r="BI1258">
            <v>25</v>
          </cell>
        </row>
        <row r="1259">
          <cell r="BI1259">
            <v>37</v>
          </cell>
        </row>
        <row r="1260">
          <cell r="BI1260">
            <v>40</v>
          </cell>
        </row>
        <row r="1261">
          <cell r="BI1261">
            <v>7</v>
          </cell>
        </row>
        <row r="1262">
          <cell r="BI1262">
            <v>2</v>
          </cell>
        </row>
        <row r="1263">
          <cell r="BI1263">
            <v>4</v>
          </cell>
        </row>
        <row r="1264">
          <cell r="BI1264">
            <v>40</v>
          </cell>
        </row>
        <row r="1265">
          <cell r="BI1265">
            <v>8</v>
          </cell>
        </row>
        <row r="1266">
          <cell r="BI1266">
            <v>17.5</v>
          </cell>
        </row>
        <row r="1267">
          <cell r="BI1267">
            <v>22</v>
          </cell>
        </row>
        <row r="1268">
          <cell r="BI1268">
            <v>76</v>
          </cell>
        </row>
        <row r="1269">
          <cell r="BI1269">
            <v>51</v>
          </cell>
        </row>
        <row r="1270">
          <cell r="BI1270">
            <v>61</v>
          </cell>
        </row>
        <row r="1271">
          <cell r="BI1271">
            <v>82</v>
          </cell>
        </row>
        <row r="1272">
          <cell r="BI1272">
            <v>6</v>
          </cell>
        </row>
        <row r="1273">
          <cell r="BI1273">
            <v>31</v>
          </cell>
        </row>
        <row r="1274">
          <cell r="BI1274">
            <v>145.5</v>
          </cell>
        </row>
        <row r="1275">
          <cell r="BI1275">
            <v>27.5</v>
          </cell>
        </row>
        <row r="1276">
          <cell r="BI1276">
            <v>151.5</v>
          </cell>
        </row>
        <row r="1277">
          <cell r="BI1277">
            <v>32</v>
          </cell>
        </row>
        <row r="1278">
          <cell r="BI1278">
            <v>18</v>
          </cell>
        </row>
        <row r="1279">
          <cell r="BI1279">
            <v>15.5</v>
          </cell>
        </row>
        <row r="1280">
          <cell r="BI1280">
            <v>3</v>
          </cell>
        </row>
        <row r="1281">
          <cell r="BI1281">
            <v>3</v>
          </cell>
        </row>
        <row r="1282">
          <cell r="BI1282">
            <v>1</v>
          </cell>
        </row>
        <row r="1283">
          <cell r="BI1283">
            <v>28</v>
          </cell>
        </row>
        <row r="1284">
          <cell r="BI1284">
            <v>52</v>
          </cell>
        </row>
        <row r="1285">
          <cell r="BI1285">
            <v>2</v>
          </cell>
        </row>
        <row r="1286">
          <cell r="BI1286">
            <v>82</v>
          </cell>
        </row>
        <row r="1287">
          <cell r="BI1287">
            <v>4.5</v>
          </cell>
        </row>
        <row r="1288">
          <cell r="BI1288">
            <v>7</v>
          </cell>
        </row>
        <row r="1289">
          <cell r="BI1289">
            <v>89</v>
          </cell>
        </row>
        <row r="1290">
          <cell r="BI1290">
            <v>29</v>
          </cell>
        </row>
        <row r="1291">
          <cell r="BI1291">
            <v>81</v>
          </cell>
        </row>
        <row r="1292">
          <cell r="BI1292">
            <v>200</v>
          </cell>
        </row>
        <row r="1293">
          <cell r="BI1293">
            <v>8</v>
          </cell>
        </row>
        <row r="1294">
          <cell r="BI1294">
            <v>133</v>
          </cell>
        </row>
        <row r="1295">
          <cell r="BI1295">
            <v>77</v>
          </cell>
        </row>
        <row r="1296">
          <cell r="BI1296">
            <v>63</v>
          </cell>
        </row>
        <row r="1297">
          <cell r="BI1297">
            <v>144</v>
          </cell>
        </row>
        <row r="1298">
          <cell r="BI1298">
            <v>2</v>
          </cell>
        </row>
        <row r="1299">
          <cell r="BI1299">
            <v>123</v>
          </cell>
        </row>
        <row r="1300">
          <cell r="BI1300">
            <v>61</v>
          </cell>
        </row>
        <row r="1301">
          <cell r="BI1301">
            <v>1</v>
          </cell>
        </row>
        <row r="1302">
          <cell r="BI1302">
            <v>5.5</v>
          </cell>
        </row>
        <row r="1303">
          <cell r="BI1303">
            <v>138</v>
          </cell>
        </row>
        <row r="1304">
          <cell r="BI1304">
            <v>5</v>
          </cell>
        </row>
        <row r="1305">
          <cell r="BI1305">
            <v>3</v>
          </cell>
        </row>
        <row r="1306">
          <cell r="BI1306">
            <v>15</v>
          </cell>
        </row>
        <row r="1307">
          <cell r="BI1307">
            <v>1</v>
          </cell>
        </row>
        <row r="1308">
          <cell r="BI1308">
            <v>4</v>
          </cell>
        </row>
        <row r="1309">
          <cell r="BI1309">
            <v>6</v>
          </cell>
        </row>
        <row r="1310">
          <cell r="BI1310">
            <v>12</v>
          </cell>
        </row>
        <row r="1311">
          <cell r="BI1311">
            <v>4</v>
          </cell>
        </row>
        <row r="1312">
          <cell r="BI1312">
            <v>5</v>
          </cell>
        </row>
        <row r="1313">
          <cell r="BI1313">
            <v>100</v>
          </cell>
        </row>
        <row r="1314">
          <cell r="BI1314">
            <v>7</v>
          </cell>
        </row>
        <row r="1315">
          <cell r="BI1315">
            <v>76</v>
          </cell>
        </row>
        <row r="1316">
          <cell r="BI1316">
            <v>45</v>
          </cell>
        </row>
        <row r="1317">
          <cell r="BI1317">
            <v>12</v>
          </cell>
        </row>
        <row r="1318">
          <cell r="BI1318">
            <v>3</v>
          </cell>
        </row>
        <row r="1319">
          <cell r="BI1319">
            <v>204</v>
          </cell>
        </row>
        <row r="1320">
          <cell r="BI1320">
            <v>410</v>
          </cell>
        </row>
        <row r="1321">
          <cell r="BI1321">
            <v>5.5</v>
          </cell>
        </row>
        <row r="1322">
          <cell r="BI1322">
            <v>9.5</v>
          </cell>
        </row>
        <row r="1323">
          <cell r="BI1323">
            <v>39</v>
          </cell>
        </row>
        <row r="1324">
          <cell r="BI1324">
            <v>1</v>
          </cell>
        </row>
        <row r="1325">
          <cell r="BI1325">
            <v>119</v>
          </cell>
        </row>
        <row r="1326">
          <cell r="BI1326">
            <v>19.5</v>
          </cell>
        </row>
        <row r="1327">
          <cell r="BI1327">
            <v>25.5</v>
          </cell>
        </row>
        <row r="1328">
          <cell r="BI1328">
            <v>5</v>
          </cell>
        </row>
        <row r="1329">
          <cell r="BI1329">
            <v>264</v>
          </cell>
        </row>
        <row r="1330">
          <cell r="BI1330">
            <v>157</v>
          </cell>
        </row>
        <row r="1331">
          <cell r="BI1331">
            <v>18</v>
          </cell>
        </row>
        <row r="1332">
          <cell r="BI1332">
            <v>27</v>
          </cell>
        </row>
        <row r="1333">
          <cell r="BI1333">
            <v>17</v>
          </cell>
        </row>
        <row r="1334">
          <cell r="BI1334">
            <v>9</v>
          </cell>
        </row>
        <row r="1335">
          <cell r="BI1335">
            <v>1</v>
          </cell>
        </row>
        <row r="1336">
          <cell r="BI1336">
            <v>656</v>
          </cell>
        </row>
        <row r="1337">
          <cell r="BI1337">
            <v>9</v>
          </cell>
        </row>
        <row r="1338">
          <cell r="BI1338">
            <v>5</v>
          </cell>
        </row>
        <row r="1339">
          <cell r="BI1339">
            <v>18</v>
          </cell>
        </row>
        <row r="1340">
          <cell r="BI1340">
            <v>236</v>
          </cell>
        </row>
        <row r="1341">
          <cell r="BI1341">
            <v>25</v>
          </cell>
        </row>
        <row r="1342">
          <cell r="BI1342">
            <v>57</v>
          </cell>
        </row>
        <row r="1343">
          <cell r="BI1343">
            <v>5</v>
          </cell>
        </row>
        <row r="1344">
          <cell r="BI1344">
            <v>14</v>
          </cell>
        </row>
        <row r="1345">
          <cell r="BI1345">
            <v>2</v>
          </cell>
        </row>
        <row r="1346">
          <cell r="BI1346">
            <v>42</v>
          </cell>
        </row>
        <row r="1347">
          <cell r="BI1347">
            <v>32</v>
          </cell>
        </row>
        <row r="1348">
          <cell r="BI1348">
            <v>9</v>
          </cell>
        </row>
        <row r="1349">
          <cell r="BI1349">
            <v>21</v>
          </cell>
        </row>
        <row r="1350">
          <cell r="BI1350">
            <v>6</v>
          </cell>
        </row>
        <row r="1351">
          <cell r="BI1351">
            <v>5</v>
          </cell>
        </row>
        <row r="1352">
          <cell r="BI1352">
            <v>32</v>
          </cell>
        </row>
        <row r="1353">
          <cell r="BI1353">
            <v>17</v>
          </cell>
        </row>
        <row r="1354">
          <cell r="BI1354">
            <v>53</v>
          </cell>
        </row>
        <row r="1355">
          <cell r="BI1355">
            <v>51</v>
          </cell>
        </row>
        <row r="1356">
          <cell r="BI1356">
            <v>53</v>
          </cell>
        </row>
        <row r="1357">
          <cell r="BI1357">
            <v>87</v>
          </cell>
        </row>
        <row r="1358">
          <cell r="BI1358">
            <v>35</v>
          </cell>
        </row>
        <row r="1359">
          <cell r="BI1359">
            <v>30</v>
          </cell>
        </row>
        <row r="1360">
          <cell r="BI1360">
            <v>2.5</v>
          </cell>
        </row>
        <row r="1361">
          <cell r="BI1361">
            <v>8.5</v>
          </cell>
        </row>
        <row r="1362">
          <cell r="BI1362">
            <v>31</v>
          </cell>
        </row>
        <row r="1363">
          <cell r="BI1363">
            <v>20.5</v>
          </cell>
        </row>
        <row r="1364">
          <cell r="BI1364">
            <v>1</v>
          </cell>
        </row>
        <row r="1365">
          <cell r="BI1365">
            <v>33</v>
          </cell>
        </row>
        <row r="1366">
          <cell r="BI1366">
            <v>34.5</v>
          </cell>
        </row>
        <row r="1367">
          <cell r="BI1367">
            <v>5</v>
          </cell>
        </row>
        <row r="1368">
          <cell r="BI1368">
            <v>3</v>
          </cell>
        </row>
        <row r="1369">
          <cell r="BI1369">
            <v>4</v>
          </cell>
        </row>
        <row r="1370">
          <cell r="BI1370">
            <v>51</v>
          </cell>
        </row>
        <row r="1371">
          <cell r="BI1371">
            <v>10</v>
          </cell>
        </row>
        <row r="1372">
          <cell r="BI1372">
            <v>21</v>
          </cell>
        </row>
        <row r="1373">
          <cell r="BI1373">
            <v>12</v>
          </cell>
        </row>
        <row r="1374">
          <cell r="BI1374">
            <v>27</v>
          </cell>
        </row>
        <row r="1375">
          <cell r="BI1375">
            <v>4.5</v>
          </cell>
        </row>
        <row r="1376">
          <cell r="BI1376">
            <v>29</v>
          </cell>
        </row>
        <row r="1377">
          <cell r="BI1377">
            <v>6.5</v>
          </cell>
        </row>
        <row r="1378">
          <cell r="BI1378">
            <v>9.5</v>
          </cell>
        </row>
        <row r="1379">
          <cell r="BI1379">
            <v>6</v>
          </cell>
        </row>
        <row r="1380">
          <cell r="BI1380">
            <v>27</v>
          </cell>
        </row>
        <row r="1381">
          <cell r="BI1381">
            <v>9</v>
          </cell>
        </row>
        <row r="1382">
          <cell r="BI1382">
            <v>8</v>
          </cell>
        </row>
        <row r="1383">
          <cell r="BI1383">
            <v>6</v>
          </cell>
        </row>
        <row r="1384">
          <cell r="BI1384">
            <v>3</v>
          </cell>
        </row>
        <row r="1385">
          <cell r="BI1385">
            <v>37.5</v>
          </cell>
        </row>
        <row r="1386">
          <cell r="BI1386">
            <v>20</v>
          </cell>
        </row>
        <row r="1387">
          <cell r="BI1387">
            <v>31</v>
          </cell>
        </row>
        <row r="1388">
          <cell r="BI1388">
            <v>17</v>
          </cell>
        </row>
        <row r="1389">
          <cell r="BI1389">
            <v>6.5</v>
          </cell>
        </row>
        <row r="1390">
          <cell r="BI1390">
            <v>12</v>
          </cell>
        </row>
        <row r="1391">
          <cell r="BI1391">
            <v>8</v>
          </cell>
        </row>
        <row r="1392">
          <cell r="BI1392">
            <v>3</v>
          </cell>
        </row>
        <row r="1393">
          <cell r="BI1393">
            <v>25</v>
          </cell>
        </row>
        <row r="1394">
          <cell r="BI1394">
            <v>5</v>
          </cell>
        </row>
        <row r="1395">
          <cell r="BI1395">
            <v>20</v>
          </cell>
        </row>
        <row r="1396">
          <cell r="BI1396">
            <v>8</v>
          </cell>
        </row>
        <row r="1397">
          <cell r="BI1397">
            <v>11</v>
          </cell>
        </row>
        <row r="1398">
          <cell r="BI1398">
            <v>3</v>
          </cell>
        </row>
        <row r="1399">
          <cell r="BI1399">
            <v>19</v>
          </cell>
        </row>
        <row r="1400">
          <cell r="BI1400">
            <v>77</v>
          </cell>
        </row>
        <row r="1401">
          <cell r="BI1401">
            <v>2</v>
          </cell>
        </row>
        <row r="1402">
          <cell r="BI1402">
            <v>43</v>
          </cell>
        </row>
        <row r="1403">
          <cell r="BI1403">
            <v>33</v>
          </cell>
        </row>
        <row r="1404">
          <cell r="BI1404">
            <v>7</v>
          </cell>
        </row>
        <row r="1405">
          <cell r="BI1405">
            <v>1</v>
          </cell>
        </row>
        <row r="1406">
          <cell r="BI1406">
            <v>13</v>
          </cell>
        </row>
        <row r="1407">
          <cell r="BI1407">
            <v>8</v>
          </cell>
        </row>
        <row r="1408">
          <cell r="BI1408">
            <v>8</v>
          </cell>
        </row>
        <row r="1409">
          <cell r="BI1409">
            <v>3</v>
          </cell>
        </row>
        <row r="1410">
          <cell r="BI1410">
            <v>120</v>
          </cell>
        </row>
        <row r="1411">
          <cell r="BI1411">
            <v>5</v>
          </cell>
        </row>
        <row r="1412">
          <cell r="BI1412">
            <v>77</v>
          </cell>
        </row>
        <row r="1413">
          <cell r="BI1413">
            <v>42</v>
          </cell>
        </row>
        <row r="1414">
          <cell r="BI1414">
            <v>16</v>
          </cell>
        </row>
        <row r="1415">
          <cell r="BI1415">
            <v>59</v>
          </cell>
        </row>
        <row r="1416">
          <cell r="BI1416">
            <v>98</v>
          </cell>
        </row>
        <row r="1417">
          <cell r="BI1417">
            <v>79</v>
          </cell>
        </row>
        <row r="1418">
          <cell r="BI1418">
            <v>35</v>
          </cell>
        </row>
        <row r="1419">
          <cell r="BI1419">
            <v>31</v>
          </cell>
        </row>
        <row r="1420">
          <cell r="BI1420">
            <v>8</v>
          </cell>
        </row>
        <row r="1421">
          <cell r="BI1421">
            <v>1</v>
          </cell>
        </row>
        <row r="1422">
          <cell r="BI1422">
            <v>18</v>
          </cell>
        </row>
        <row r="1423">
          <cell r="BI1423">
            <v>45</v>
          </cell>
        </row>
        <row r="1424">
          <cell r="BI1424">
            <v>46</v>
          </cell>
        </row>
        <row r="1425">
          <cell r="BI1425">
            <v>29</v>
          </cell>
        </row>
        <row r="1426">
          <cell r="BI1426">
            <v>8</v>
          </cell>
        </row>
        <row r="1427">
          <cell r="BI1427">
            <v>176</v>
          </cell>
        </row>
        <row r="1428">
          <cell r="BI1428">
            <v>8</v>
          </cell>
        </row>
        <row r="1429">
          <cell r="BI1429">
            <v>41</v>
          </cell>
        </row>
        <row r="1430">
          <cell r="BI1430">
            <v>128</v>
          </cell>
        </row>
        <row r="1431">
          <cell r="BI1431">
            <v>10</v>
          </cell>
        </row>
        <row r="1432">
          <cell r="BI1432">
            <v>28</v>
          </cell>
        </row>
        <row r="1433">
          <cell r="BI1433">
            <v>84</v>
          </cell>
        </row>
        <row r="1434">
          <cell r="BI1434">
            <v>5</v>
          </cell>
        </row>
        <row r="1435">
          <cell r="BI1435">
            <v>257</v>
          </cell>
        </row>
        <row r="1436">
          <cell r="BI1436">
            <v>29</v>
          </cell>
        </row>
        <row r="1437">
          <cell r="BI1437">
            <v>13</v>
          </cell>
        </row>
        <row r="1438">
          <cell r="BI1438">
            <v>6</v>
          </cell>
        </row>
        <row r="1439">
          <cell r="BI1439">
            <v>13</v>
          </cell>
        </row>
        <row r="1440">
          <cell r="BI1440">
            <v>2</v>
          </cell>
        </row>
        <row r="1441">
          <cell r="BI1441">
            <v>29</v>
          </cell>
        </row>
        <row r="1442">
          <cell r="BI1442">
            <v>23</v>
          </cell>
        </row>
        <row r="1443">
          <cell r="BI1443">
            <v>15</v>
          </cell>
        </row>
        <row r="1444">
          <cell r="BI1444">
            <v>1</v>
          </cell>
        </row>
        <row r="1445">
          <cell r="BI1445">
            <v>71</v>
          </cell>
        </row>
        <row r="1446">
          <cell r="BI1446">
            <v>6</v>
          </cell>
        </row>
        <row r="1447">
          <cell r="BI1447">
            <v>2</v>
          </cell>
        </row>
        <row r="1448">
          <cell r="BI1448">
            <v>68</v>
          </cell>
        </row>
        <row r="1449">
          <cell r="BI1449">
            <v>2</v>
          </cell>
        </row>
        <row r="1450">
          <cell r="BI1450">
            <v>47</v>
          </cell>
        </row>
        <row r="1451">
          <cell r="BI1451">
            <v>118</v>
          </cell>
        </row>
        <row r="1452">
          <cell r="BI1452">
            <v>189</v>
          </cell>
        </row>
        <row r="1453">
          <cell r="BI1453">
            <v>141</v>
          </cell>
        </row>
        <row r="1454">
          <cell r="BI1454">
            <v>38</v>
          </cell>
        </row>
        <row r="1455">
          <cell r="BI1455">
            <v>92</v>
          </cell>
        </row>
        <row r="1456">
          <cell r="BI1456">
            <v>53</v>
          </cell>
        </row>
        <row r="1457">
          <cell r="BI1457">
            <v>91</v>
          </cell>
        </row>
        <row r="1458">
          <cell r="BI1458">
            <v>15</v>
          </cell>
        </row>
        <row r="1459">
          <cell r="BI1459">
            <v>82</v>
          </cell>
        </row>
        <row r="1460">
          <cell r="BI1460">
            <v>49</v>
          </cell>
        </row>
        <row r="1461">
          <cell r="BI1461">
            <v>3</v>
          </cell>
        </row>
        <row r="1462">
          <cell r="BI1462">
            <v>8</v>
          </cell>
        </row>
        <row r="1463">
          <cell r="BI1463">
            <v>8</v>
          </cell>
        </row>
        <row r="1464">
          <cell r="BI1464">
            <v>17</v>
          </cell>
        </row>
        <row r="1465">
          <cell r="BI1465">
            <v>4</v>
          </cell>
        </row>
        <row r="1466">
          <cell r="BI1466">
            <v>19.5</v>
          </cell>
        </row>
        <row r="1467">
          <cell r="BI1467">
            <v>21</v>
          </cell>
        </row>
        <row r="1468">
          <cell r="BI1468">
            <v>9</v>
          </cell>
        </row>
        <row r="1469">
          <cell r="BI1469">
            <v>7</v>
          </cell>
        </row>
        <row r="1470">
          <cell r="BI1470">
            <v>23</v>
          </cell>
        </row>
        <row r="1471">
          <cell r="BI1471">
            <v>88</v>
          </cell>
        </row>
        <row r="1472">
          <cell r="BI1472">
            <v>14</v>
          </cell>
        </row>
        <row r="1473">
          <cell r="BI1473">
            <v>34</v>
          </cell>
        </row>
        <row r="1474">
          <cell r="BI1474">
            <v>4</v>
          </cell>
        </row>
        <row r="1475">
          <cell r="BI1475">
            <v>43</v>
          </cell>
        </row>
        <row r="1476">
          <cell r="BI1476">
            <v>9</v>
          </cell>
        </row>
        <row r="1477">
          <cell r="BI1477">
            <v>64</v>
          </cell>
        </row>
        <row r="1478">
          <cell r="BI1478">
            <v>61</v>
          </cell>
        </row>
        <row r="1479">
          <cell r="BI1479">
            <v>7</v>
          </cell>
        </row>
        <row r="1480">
          <cell r="BI1480">
            <v>24</v>
          </cell>
        </row>
        <row r="1481">
          <cell r="BI1481">
            <v>3</v>
          </cell>
        </row>
        <row r="1482">
          <cell r="BI1482">
            <v>9</v>
          </cell>
        </row>
        <row r="1483">
          <cell r="BI1483">
            <v>2</v>
          </cell>
        </row>
        <row r="1484">
          <cell r="BI1484">
            <v>7</v>
          </cell>
        </row>
        <row r="1485">
          <cell r="BI1485">
            <v>1</v>
          </cell>
        </row>
        <row r="1486">
          <cell r="BI1486">
            <v>27</v>
          </cell>
        </row>
        <row r="1487">
          <cell r="BI1487">
            <v>11</v>
          </cell>
        </row>
        <row r="1488">
          <cell r="BI1488">
            <v>19</v>
          </cell>
        </row>
        <row r="1489">
          <cell r="BI1489">
            <v>5</v>
          </cell>
        </row>
        <row r="1490">
          <cell r="BI1490">
            <v>10</v>
          </cell>
        </row>
        <row r="1491">
          <cell r="BI1491">
            <v>4</v>
          </cell>
        </row>
        <row r="1492">
          <cell r="BI1492">
            <v>7</v>
          </cell>
        </row>
        <row r="1493">
          <cell r="BI1493">
            <v>57</v>
          </cell>
        </row>
        <row r="1494">
          <cell r="BI1494">
            <v>122</v>
          </cell>
        </row>
        <row r="1495">
          <cell r="BI1495">
            <v>131</v>
          </cell>
        </row>
        <row r="1496">
          <cell r="BI1496">
            <v>3</v>
          </cell>
        </row>
        <row r="1497">
          <cell r="BI1497">
            <v>10</v>
          </cell>
        </row>
        <row r="1498">
          <cell r="BI1498">
            <v>97</v>
          </cell>
        </row>
        <row r="1499">
          <cell r="BI1499">
            <v>35</v>
          </cell>
        </row>
        <row r="1500">
          <cell r="BI1500">
            <v>3</v>
          </cell>
        </row>
        <row r="1501">
          <cell r="BI1501">
            <v>2</v>
          </cell>
        </row>
        <row r="1502">
          <cell r="BI1502">
            <v>6</v>
          </cell>
        </row>
        <row r="1503">
          <cell r="BI1503">
            <v>7</v>
          </cell>
        </row>
        <row r="1504">
          <cell r="BI1504">
            <v>10</v>
          </cell>
        </row>
        <row r="1505">
          <cell r="BI1505">
            <v>23</v>
          </cell>
        </row>
        <row r="1506">
          <cell r="BI1506">
            <v>44</v>
          </cell>
        </row>
        <row r="1507">
          <cell r="BI1507">
            <v>52</v>
          </cell>
        </row>
        <row r="1508">
          <cell r="BI1508">
            <v>8</v>
          </cell>
        </row>
        <row r="1509">
          <cell r="BI1509">
            <v>8</v>
          </cell>
        </row>
        <row r="1510">
          <cell r="BI1510">
            <v>5.5</v>
          </cell>
        </row>
        <row r="1511">
          <cell r="BI1511">
            <v>23.5</v>
          </cell>
        </row>
        <row r="1512">
          <cell r="BI1512">
            <v>15</v>
          </cell>
        </row>
        <row r="1513">
          <cell r="BI1513">
            <v>9</v>
          </cell>
        </row>
        <row r="1514">
          <cell r="BI1514">
            <v>3</v>
          </cell>
        </row>
        <row r="1515">
          <cell r="BI1515">
            <v>5.5</v>
          </cell>
        </row>
        <row r="1516">
          <cell r="BI1516">
            <v>8</v>
          </cell>
        </row>
        <row r="1517">
          <cell r="BI1517">
            <v>35</v>
          </cell>
        </row>
        <row r="1518">
          <cell r="BI1518">
            <v>1</v>
          </cell>
        </row>
        <row r="1519">
          <cell r="BI1519">
            <v>86</v>
          </cell>
        </row>
        <row r="1520">
          <cell r="BI1520">
            <v>21</v>
          </cell>
        </row>
        <row r="1521">
          <cell r="BI1521">
            <v>3.5</v>
          </cell>
        </row>
        <row r="1522">
          <cell r="BI1522">
            <v>11</v>
          </cell>
        </row>
        <row r="1523">
          <cell r="BI1523">
            <v>5</v>
          </cell>
        </row>
        <row r="1524">
          <cell r="BI1524">
            <v>2.5</v>
          </cell>
        </row>
        <row r="1525">
          <cell r="BI1525">
            <v>7.5</v>
          </cell>
        </row>
        <row r="1526">
          <cell r="BI1526">
            <v>3</v>
          </cell>
        </row>
        <row r="1527">
          <cell r="BI1527">
            <v>3</v>
          </cell>
        </row>
        <row r="1528">
          <cell r="BI1528">
            <v>6</v>
          </cell>
        </row>
        <row r="1529">
          <cell r="BI1529">
            <v>10.5</v>
          </cell>
        </row>
        <row r="1530">
          <cell r="BI1530">
            <v>50</v>
          </cell>
        </row>
        <row r="1531">
          <cell r="BI1531">
            <v>7</v>
          </cell>
        </row>
        <row r="1532">
          <cell r="BI1532">
            <v>9</v>
          </cell>
        </row>
        <row r="1533">
          <cell r="BI1533">
            <v>26</v>
          </cell>
        </row>
        <row r="1534">
          <cell r="BI1534">
            <v>3</v>
          </cell>
        </row>
        <row r="1535">
          <cell r="BI1535">
            <v>7.5</v>
          </cell>
        </row>
        <row r="1536">
          <cell r="BI1536">
            <v>6.5</v>
          </cell>
        </row>
        <row r="1537">
          <cell r="BI1537">
            <v>18</v>
          </cell>
        </row>
        <row r="1538">
          <cell r="BI1538">
            <v>17</v>
          </cell>
        </row>
        <row r="1539">
          <cell r="BI1539">
            <v>17</v>
          </cell>
        </row>
        <row r="1540">
          <cell r="BI1540">
            <v>9.5</v>
          </cell>
        </row>
        <row r="1541">
          <cell r="BI1541">
            <v>6</v>
          </cell>
        </row>
        <row r="1542">
          <cell r="BI1542">
            <v>5.5</v>
          </cell>
        </row>
        <row r="1543">
          <cell r="BI1543">
            <v>19</v>
          </cell>
        </row>
        <row r="1544">
          <cell r="BI1544">
            <v>34</v>
          </cell>
        </row>
        <row r="1545">
          <cell r="BI1545">
            <v>10</v>
          </cell>
        </row>
        <row r="1546">
          <cell r="BI1546">
            <v>55</v>
          </cell>
        </row>
        <row r="1547">
          <cell r="BI1547">
            <v>11</v>
          </cell>
        </row>
        <row r="1548">
          <cell r="BI1548">
            <v>69</v>
          </cell>
        </row>
        <row r="1549">
          <cell r="BI1549">
            <v>8</v>
          </cell>
        </row>
        <row r="1550">
          <cell r="BI1550">
            <v>95</v>
          </cell>
        </row>
        <row r="1551">
          <cell r="BI1551">
            <v>74</v>
          </cell>
        </row>
        <row r="1552">
          <cell r="BI1552">
            <v>5</v>
          </cell>
        </row>
        <row r="1553">
          <cell r="BI1553">
            <v>4</v>
          </cell>
        </row>
        <row r="1554">
          <cell r="BI1554">
            <v>5</v>
          </cell>
        </row>
        <row r="1555">
          <cell r="BI1555">
            <v>5</v>
          </cell>
        </row>
        <row r="1556">
          <cell r="BI1556">
            <v>3</v>
          </cell>
        </row>
        <row r="1557">
          <cell r="BI1557">
            <v>1</v>
          </cell>
        </row>
        <row r="1558">
          <cell r="BI1558">
            <v>6</v>
          </cell>
        </row>
        <row r="1559">
          <cell r="BI1559">
            <v>9</v>
          </cell>
        </row>
        <row r="1560">
          <cell r="BI1560">
            <v>3</v>
          </cell>
        </row>
        <row r="1561">
          <cell r="BI1561">
            <v>8</v>
          </cell>
        </row>
        <row r="1562">
          <cell r="BI1562">
            <v>39</v>
          </cell>
        </row>
        <row r="1563">
          <cell r="BI1563">
            <v>5</v>
          </cell>
        </row>
        <row r="1564">
          <cell r="BI1564">
            <v>9</v>
          </cell>
        </row>
        <row r="1565">
          <cell r="BI1565">
            <v>40</v>
          </cell>
        </row>
        <row r="1566">
          <cell r="BI1566">
            <v>199</v>
          </cell>
        </row>
        <row r="1567">
          <cell r="BI1567">
            <v>7</v>
          </cell>
        </row>
        <row r="1568">
          <cell r="BI1568">
            <v>5</v>
          </cell>
        </row>
        <row r="1569">
          <cell r="BI1569">
            <v>9</v>
          </cell>
        </row>
        <row r="1570">
          <cell r="BI1570">
            <v>30</v>
          </cell>
        </row>
        <row r="1571">
          <cell r="BI1571">
            <v>5</v>
          </cell>
        </row>
        <row r="1572">
          <cell r="BI1572">
            <v>8</v>
          </cell>
        </row>
        <row r="1573">
          <cell r="BI1573">
            <v>13</v>
          </cell>
        </row>
        <row r="1574">
          <cell r="BI1574">
            <v>8</v>
          </cell>
        </row>
        <row r="1575">
          <cell r="BI1575">
            <v>9</v>
          </cell>
        </row>
        <row r="1576">
          <cell r="BI1576">
            <v>3</v>
          </cell>
        </row>
        <row r="1577">
          <cell r="BI1577">
            <v>68</v>
          </cell>
        </row>
        <row r="1578">
          <cell r="BI1578">
            <v>19.5</v>
          </cell>
        </row>
        <row r="1579">
          <cell r="BI1579">
            <v>19.5</v>
          </cell>
        </row>
        <row r="1580">
          <cell r="BI1580">
            <v>27</v>
          </cell>
        </row>
        <row r="1581">
          <cell r="BI1581">
            <v>24</v>
          </cell>
        </row>
        <row r="1582">
          <cell r="BI1582">
            <v>3</v>
          </cell>
        </row>
        <row r="1583">
          <cell r="BI1583">
            <v>91</v>
          </cell>
        </row>
        <row r="1584">
          <cell r="BI1584">
            <v>71</v>
          </cell>
        </row>
        <row r="1585">
          <cell r="BI1585">
            <v>254</v>
          </cell>
        </row>
        <row r="1586">
          <cell r="BI1586">
            <v>227</v>
          </cell>
        </row>
        <row r="1587">
          <cell r="BI1587">
            <v>30</v>
          </cell>
        </row>
        <row r="1588">
          <cell r="BI1588">
            <v>30</v>
          </cell>
        </row>
        <row r="1589">
          <cell r="BI1589">
            <v>98</v>
          </cell>
        </row>
        <row r="1590">
          <cell r="BI1590">
            <v>56</v>
          </cell>
        </row>
        <row r="1591">
          <cell r="BI1591">
            <v>20</v>
          </cell>
        </row>
        <row r="1592">
          <cell r="BI1592">
            <v>82</v>
          </cell>
        </row>
        <row r="1593">
          <cell r="BI1593">
            <v>7</v>
          </cell>
        </row>
        <row r="1594">
          <cell r="BI1594">
            <v>79</v>
          </cell>
        </row>
        <row r="1595">
          <cell r="BI1595">
            <v>75</v>
          </cell>
        </row>
        <row r="1596">
          <cell r="BI1596">
            <v>17</v>
          </cell>
        </row>
        <row r="1597">
          <cell r="BI1597">
            <v>45</v>
          </cell>
        </row>
        <row r="1598">
          <cell r="BI1598">
            <v>5</v>
          </cell>
        </row>
        <row r="1599">
          <cell r="BI1599">
            <v>5</v>
          </cell>
        </row>
        <row r="1600">
          <cell r="BI1600">
            <v>52</v>
          </cell>
        </row>
        <row r="1601">
          <cell r="BI1601">
            <v>10</v>
          </cell>
        </row>
        <row r="1602">
          <cell r="BI1602">
            <v>17</v>
          </cell>
        </row>
        <row r="1603">
          <cell r="BI1603">
            <v>78</v>
          </cell>
        </row>
        <row r="1604">
          <cell r="BI1604">
            <v>13</v>
          </cell>
        </row>
        <row r="1605">
          <cell r="BI1605">
            <v>7</v>
          </cell>
        </row>
        <row r="1606">
          <cell r="BI1606">
            <v>1</v>
          </cell>
        </row>
        <row r="1607">
          <cell r="BI1607">
            <v>6</v>
          </cell>
        </row>
        <row r="1608">
          <cell r="BI1608">
            <v>5</v>
          </cell>
        </row>
        <row r="1609">
          <cell r="BI1609">
            <v>10</v>
          </cell>
        </row>
        <row r="1610">
          <cell r="BI1610">
            <v>36</v>
          </cell>
        </row>
        <row r="1611">
          <cell r="BI1611">
            <v>5</v>
          </cell>
        </row>
        <row r="1612">
          <cell r="BI1612">
            <v>5</v>
          </cell>
        </row>
        <row r="1613">
          <cell r="BI1613">
            <v>34</v>
          </cell>
        </row>
        <row r="1614">
          <cell r="BI1614">
            <v>11</v>
          </cell>
        </row>
        <row r="1615">
          <cell r="BI1615">
            <v>22</v>
          </cell>
        </row>
        <row r="1616">
          <cell r="BI1616">
            <v>3</v>
          </cell>
        </row>
        <row r="1617">
          <cell r="BI1617">
            <v>25</v>
          </cell>
        </row>
        <row r="1618">
          <cell r="BI1618">
            <v>2</v>
          </cell>
        </row>
        <row r="1619">
          <cell r="BI1619">
            <v>2</v>
          </cell>
        </row>
        <row r="1620">
          <cell r="BI1620">
            <v>11</v>
          </cell>
        </row>
        <row r="1621">
          <cell r="BI1621">
            <v>6</v>
          </cell>
        </row>
        <row r="1622">
          <cell r="BI1622">
            <v>3</v>
          </cell>
        </row>
        <row r="1623">
          <cell r="BI1623">
            <v>8</v>
          </cell>
        </row>
        <row r="1624">
          <cell r="BI1624">
            <v>166</v>
          </cell>
        </row>
        <row r="1625">
          <cell r="BI1625">
            <v>2</v>
          </cell>
        </row>
        <row r="1626">
          <cell r="BI1626">
            <v>11</v>
          </cell>
        </row>
        <row r="1627">
          <cell r="BI1627">
            <v>3</v>
          </cell>
        </row>
        <row r="1628">
          <cell r="BI1628">
            <v>4</v>
          </cell>
        </row>
        <row r="1629">
          <cell r="BI1629">
            <v>6</v>
          </cell>
        </row>
        <row r="1630">
          <cell r="BI1630">
            <v>5</v>
          </cell>
        </row>
        <row r="1631">
          <cell r="BI1631">
            <v>1</v>
          </cell>
        </row>
        <row r="1632">
          <cell r="BI1632">
            <v>2</v>
          </cell>
        </row>
        <row r="1633">
          <cell r="BI1633">
            <v>58</v>
          </cell>
        </row>
        <row r="1634">
          <cell r="BI1634">
            <v>20</v>
          </cell>
        </row>
        <row r="1635">
          <cell r="BI1635">
            <v>6</v>
          </cell>
        </row>
        <row r="1636">
          <cell r="BI1636">
            <v>46</v>
          </cell>
        </row>
        <row r="1637">
          <cell r="BI1637">
            <v>6</v>
          </cell>
        </row>
        <row r="1638">
          <cell r="BI1638">
            <v>31</v>
          </cell>
        </row>
        <row r="1639">
          <cell r="BI1639">
            <v>30</v>
          </cell>
        </row>
        <row r="1640">
          <cell r="BI1640">
            <v>23</v>
          </cell>
        </row>
        <row r="1641">
          <cell r="BI1641">
            <v>80</v>
          </cell>
        </row>
        <row r="1642">
          <cell r="BI1642">
            <v>71</v>
          </cell>
        </row>
        <row r="1643">
          <cell r="BI1643">
            <v>2</v>
          </cell>
        </row>
        <row r="1644">
          <cell r="BI1644">
            <v>14</v>
          </cell>
        </row>
        <row r="1645">
          <cell r="BI1645">
            <v>4</v>
          </cell>
        </row>
        <row r="1646">
          <cell r="BI1646">
            <v>55</v>
          </cell>
        </row>
        <row r="1647">
          <cell r="BI1647">
            <v>42</v>
          </cell>
        </row>
        <row r="1648">
          <cell r="BI1648">
            <v>37</v>
          </cell>
        </row>
        <row r="1649">
          <cell r="BI1649">
            <v>16</v>
          </cell>
        </row>
        <row r="1650">
          <cell r="BI1650">
            <v>32</v>
          </cell>
        </row>
        <row r="1651">
          <cell r="BI1651">
            <v>20</v>
          </cell>
        </row>
        <row r="1652">
          <cell r="BI1652">
            <v>29</v>
          </cell>
        </row>
        <row r="1653">
          <cell r="BI1653">
            <v>43</v>
          </cell>
        </row>
        <row r="1654">
          <cell r="BI1654">
            <v>50</v>
          </cell>
        </row>
        <row r="1655">
          <cell r="BI1655">
            <v>5</v>
          </cell>
        </row>
        <row r="1656">
          <cell r="BI1656">
            <v>58</v>
          </cell>
        </row>
        <row r="1657">
          <cell r="BI1657">
            <v>4</v>
          </cell>
        </row>
        <row r="1658">
          <cell r="BI1658">
            <v>110</v>
          </cell>
        </row>
        <row r="1659">
          <cell r="BI1659">
            <v>43</v>
          </cell>
        </row>
        <row r="1660">
          <cell r="BI1660">
            <v>29</v>
          </cell>
        </row>
        <row r="1661">
          <cell r="BI1661">
            <v>45</v>
          </cell>
        </row>
        <row r="1662">
          <cell r="BI1662">
            <v>6</v>
          </cell>
        </row>
        <row r="1663">
          <cell r="BI1663">
            <v>40</v>
          </cell>
        </row>
        <row r="1664">
          <cell r="BI1664">
            <v>82</v>
          </cell>
        </row>
        <row r="1665">
          <cell r="BI1665">
            <v>20</v>
          </cell>
        </row>
        <row r="1666">
          <cell r="BI1666">
            <v>12</v>
          </cell>
        </row>
        <row r="1667">
          <cell r="BI1667">
            <v>47</v>
          </cell>
        </row>
        <row r="1668">
          <cell r="BI1668">
            <v>13</v>
          </cell>
        </row>
        <row r="1669">
          <cell r="BI1669">
            <v>2</v>
          </cell>
        </row>
        <row r="1670">
          <cell r="BI1670">
            <v>2</v>
          </cell>
        </row>
        <row r="1671">
          <cell r="BI1671">
            <v>9</v>
          </cell>
        </row>
        <row r="1672">
          <cell r="BI1672">
            <v>23</v>
          </cell>
        </row>
        <row r="1673">
          <cell r="BI1673">
            <v>17.5</v>
          </cell>
        </row>
        <row r="1674">
          <cell r="BI1674">
            <v>5</v>
          </cell>
        </row>
        <row r="1675">
          <cell r="BI1675">
            <v>4</v>
          </cell>
        </row>
        <row r="1676">
          <cell r="BI1676">
            <v>48</v>
          </cell>
        </row>
        <row r="1677">
          <cell r="BI1677">
            <v>2.5</v>
          </cell>
        </row>
        <row r="1678">
          <cell r="BI1678">
            <v>3</v>
          </cell>
        </row>
        <row r="1679">
          <cell r="BI1679">
            <v>3.5</v>
          </cell>
        </row>
        <row r="1680">
          <cell r="BI1680">
            <v>2</v>
          </cell>
        </row>
        <row r="1681">
          <cell r="BI1681">
            <v>5</v>
          </cell>
        </row>
        <row r="1682">
          <cell r="BI1682">
            <v>11</v>
          </cell>
        </row>
        <row r="1683">
          <cell r="BI1683">
            <v>18</v>
          </cell>
        </row>
        <row r="1684">
          <cell r="BI1684">
            <v>10</v>
          </cell>
        </row>
        <row r="1685">
          <cell r="BI1685">
            <v>17</v>
          </cell>
        </row>
        <row r="1686">
          <cell r="BI1686">
            <v>82</v>
          </cell>
        </row>
        <row r="1687">
          <cell r="BI1687">
            <v>70</v>
          </cell>
        </row>
        <row r="1688">
          <cell r="BI1688">
            <v>24</v>
          </cell>
        </row>
        <row r="1689">
          <cell r="BI1689">
            <v>54</v>
          </cell>
        </row>
        <row r="1690">
          <cell r="BI1690">
            <v>2</v>
          </cell>
        </row>
        <row r="1691">
          <cell r="BI1691">
            <v>9</v>
          </cell>
        </row>
        <row r="1692">
          <cell r="BI1692">
            <v>15</v>
          </cell>
        </row>
        <row r="1693">
          <cell r="BI1693">
            <v>37</v>
          </cell>
        </row>
        <row r="1694">
          <cell r="BI1694">
            <v>13</v>
          </cell>
        </row>
        <row r="1695">
          <cell r="BI1695">
            <v>153</v>
          </cell>
        </row>
        <row r="1696">
          <cell r="BI1696">
            <v>310</v>
          </cell>
        </row>
        <row r="1697">
          <cell r="BI1697">
            <v>109</v>
          </cell>
        </row>
        <row r="1698">
          <cell r="BI1698">
            <v>255</v>
          </cell>
        </row>
        <row r="1699">
          <cell r="BI1699">
            <v>14</v>
          </cell>
        </row>
        <row r="1700">
          <cell r="BI1700">
            <v>36</v>
          </cell>
        </row>
        <row r="1701">
          <cell r="BI1701">
            <v>49</v>
          </cell>
        </row>
        <row r="1702">
          <cell r="BI1702">
            <v>76</v>
          </cell>
        </row>
        <row r="1703">
          <cell r="BI1703">
            <v>10</v>
          </cell>
        </row>
        <row r="1704">
          <cell r="BI1704">
            <v>14</v>
          </cell>
        </row>
        <row r="1705">
          <cell r="BI1705">
            <v>30</v>
          </cell>
        </row>
        <row r="1706">
          <cell r="BI1706">
            <v>735</v>
          </cell>
        </row>
        <row r="1707">
          <cell r="BI1707">
            <v>218</v>
          </cell>
        </row>
        <row r="1708">
          <cell r="BI1708">
            <v>397</v>
          </cell>
        </row>
        <row r="1709">
          <cell r="BI1709">
            <v>38</v>
          </cell>
        </row>
        <row r="1710">
          <cell r="BI1710">
            <v>28</v>
          </cell>
        </row>
        <row r="1711">
          <cell r="BI1711">
            <v>84</v>
          </cell>
        </row>
        <row r="1712">
          <cell r="BI1712">
            <v>106</v>
          </cell>
        </row>
        <row r="1713">
          <cell r="BI1713">
            <v>84</v>
          </cell>
        </row>
        <row r="1714">
          <cell r="BI1714">
            <v>23</v>
          </cell>
        </row>
        <row r="1715">
          <cell r="BI1715">
            <v>13</v>
          </cell>
        </row>
        <row r="1716">
          <cell r="BI1716">
            <v>60</v>
          </cell>
        </row>
        <row r="1717">
          <cell r="BI1717">
            <v>16</v>
          </cell>
        </row>
        <row r="1718">
          <cell r="BI1718">
            <v>8</v>
          </cell>
        </row>
        <row r="1719">
          <cell r="BI1719">
            <v>32</v>
          </cell>
        </row>
        <row r="1720">
          <cell r="BI1720">
            <v>29</v>
          </cell>
        </row>
        <row r="1721">
          <cell r="BI1721">
            <v>1</v>
          </cell>
        </row>
        <row r="1722">
          <cell r="BI1722">
            <v>49</v>
          </cell>
        </row>
        <row r="1723">
          <cell r="BI1723">
            <v>2.5</v>
          </cell>
        </row>
        <row r="1724">
          <cell r="BI1724">
            <v>63</v>
          </cell>
        </row>
        <row r="1725">
          <cell r="BI1725">
            <v>4</v>
          </cell>
        </row>
        <row r="1726">
          <cell r="BI1726">
            <v>1.5</v>
          </cell>
        </row>
        <row r="1727">
          <cell r="BI1727">
            <v>29</v>
          </cell>
        </row>
        <row r="1728">
          <cell r="BI1728">
            <v>33.5</v>
          </cell>
        </row>
        <row r="1729">
          <cell r="BI1729">
            <v>4</v>
          </cell>
        </row>
        <row r="1730">
          <cell r="BI1730">
            <v>3</v>
          </cell>
        </row>
        <row r="1731">
          <cell r="BI1731">
            <v>6</v>
          </cell>
        </row>
        <row r="1732">
          <cell r="BI1732">
            <v>30</v>
          </cell>
        </row>
        <row r="1733">
          <cell r="BI1733">
            <v>3.5</v>
          </cell>
        </row>
        <row r="1734">
          <cell r="BI1734">
            <v>53</v>
          </cell>
        </row>
        <row r="1735">
          <cell r="BI1735">
            <v>43</v>
          </cell>
        </row>
        <row r="1736">
          <cell r="BI1736">
            <v>20</v>
          </cell>
        </row>
        <row r="1737">
          <cell r="BI1737">
            <v>6.5</v>
          </cell>
        </row>
        <row r="1738">
          <cell r="BI1738">
            <v>18</v>
          </cell>
        </row>
        <row r="1739">
          <cell r="BI1739">
            <v>17</v>
          </cell>
        </row>
        <row r="1740">
          <cell r="BI1740">
            <v>13</v>
          </cell>
        </row>
        <row r="1741">
          <cell r="BI1741">
            <v>43</v>
          </cell>
        </row>
        <row r="1742">
          <cell r="BI1742">
            <v>26</v>
          </cell>
        </row>
        <row r="1743">
          <cell r="BI1743">
            <v>5</v>
          </cell>
        </row>
        <row r="1744">
          <cell r="BI1744">
            <v>1</v>
          </cell>
        </row>
        <row r="1745">
          <cell r="BI1745">
            <v>4</v>
          </cell>
        </row>
        <row r="1746">
          <cell r="BI1746">
            <v>2</v>
          </cell>
        </row>
        <row r="1747">
          <cell r="BI1747">
            <v>4</v>
          </cell>
        </row>
        <row r="1748">
          <cell r="BI1748">
            <v>4</v>
          </cell>
        </row>
        <row r="1749">
          <cell r="BI1749">
            <v>3</v>
          </cell>
        </row>
        <row r="1750">
          <cell r="BI1750">
            <v>13</v>
          </cell>
        </row>
        <row r="1751">
          <cell r="BI1751">
            <v>8</v>
          </cell>
        </row>
        <row r="1752">
          <cell r="BI1752">
            <v>3</v>
          </cell>
        </row>
        <row r="1753">
          <cell r="BI1753">
            <v>30</v>
          </cell>
        </row>
        <row r="1754">
          <cell r="BI1754">
            <v>27</v>
          </cell>
        </row>
        <row r="1755">
          <cell r="BI1755">
            <v>2</v>
          </cell>
        </row>
        <row r="1756">
          <cell r="BI1756">
            <v>1.5</v>
          </cell>
        </row>
        <row r="1757">
          <cell r="BI1757">
            <v>2.5</v>
          </cell>
        </row>
        <row r="1758">
          <cell r="BI1758">
            <v>18</v>
          </cell>
        </row>
        <row r="1759">
          <cell r="BI1759">
            <v>3</v>
          </cell>
        </row>
        <row r="1760">
          <cell r="BI1760">
            <v>243</v>
          </cell>
        </row>
        <row r="1761">
          <cell r="BI1761">
            <v>4</v>
          </cell>
        </row>
        <row r="1762">
          <cell r="BI1762">
            <v>30</v>
          </cell>
        </row>
        <row r="1763">
          <cell r="BI1763">
            <v>157</v>
          </cell>
        </row>
        <row r="1764">
          <cell r="BI1764">
            <v>5</v>
          </cell>
        </row>
        <row r="1765">
          <cell r="BI1765">
            <v>5</v>
          </cell>
        </row>
        <row r="1766">
          <cell r="BI1766">
            <v>2</v>
          </cell>
        </row>
        <row r="1767">
          <cell r="BI1767">
            <v>4</v>
          </cell>
        </row>
        <row r="1768">
          <cell r="BI1768">
            <v>14</v>
          </cell>
        </row>
        <row r="1769">
          <cell r="BI1769">
            <v>98</v>
          </cell>
        </row>
        <row r="1770">
          <cell r="BI1770">
            <v>20</v>
          </cell>
        </row>
        <row r="1771">
          <cell r="BI1771">
            <v>36</v>
          </cell>
        </row>
        <row r="1772">
          <cell r="BI1772">
            <v>9</v>
          </cell>
        </row>
        <row r="1773">
          <cell r="BI1773">
            <v>4</v>
          </cell>
        </row>
        <row r="1774">
          <cell r="BI1774">
            <v>11</v>
          </cell>
        </row>
        <row r="1775">
          <cell r="BI1775">
            <v>72</v>
          </cell>
        </row>
        <row r="1776">
          <cell r="BI1776">
            <v>102</v>
          </cell>
        </row>
        <row r="1777">
          <cell r="BI1777">
            <v>42</v>
          </cell>
        </row>
        <row r="1778">
          <cell r="BI1778">
            <v>129</v>
          </cell>
        </row>
        <row r="1779">
          <cell r="BI1779">
            <v>61</v>
          </cell>
        </row>
        <row r="1780">
          <cell r="BI1780">
            <v>6</v>
          </cell>
        </row>
        <row r="1781">
          <cell r="BI1781">
            <v>58</v>
          </cell>
        </row>
        <row r="1782">
          <cell r="BI1782">
            <v>5.5</v>
          </cell>
        </row>
        <row r="1783">
          <cell r="BI1783">
            <v>28.5</v>
          </cell>
        </row>
        <row r="1784">
          <cell r="BI1784">
            <v>28</v>
          </cell>
        </row>
        <row r="1785">
          <cell r="BI1785">
            <v>4</v>
          </cell>
        </row>
        <row r="1786">
          <cell r="BI1786">
            <v>13</v>
          </cell>
        </row>
        <row r="1787">
          <cell r="BI1787">
            <v>20</v>
          </cell>
        </row>
        <row r="1788">
          <cell r="BI1788">
            <v>45</v>
          </cell>
        </row>
        <row r="1789">
          <cell r="BI1789">
            <v>10.5</v>
          </cell>
        </row>
        <row r="1790">
          <cell r="BI1790">
            <v>83</v>
          </cell>
        </row>
        <row r="1791">
          <cell r="BI1791">
            <v>0.5</v>
          </cell>
        </row>
        <row r="1792">
          <cell r="BI1792">
            <v>12.5</v>
          </cell>
        </row>
        <row r="1793">
          <cell r="BI1793">
            <v>11</v>
          </cell>
        </row>
        <row r="1794">
          <cell r="BI1794">
            <v>14</v>
          </cell>
        </row>
        <row r="1795">
          <cell r="BI1795">
            <v>3.5</v>
          </cell>
        </row>
        <row r="1796">
          <cell r="BI1796">
            <v>16.5</v>
          </cell>
        </row>
        <row r="1797">
          <cell r="BI1797">
            <v>2.5</v>
          </cell>
        </row>
        <row r="1798">
          <cell r="BI1798">
            <v>4</v>
          </cell>
        </row>
        <row r="1799">
          <cell r="BI1799">
            <v>5</v>
          </cell>
        </row>
        <row r="1800">
          <cell r="BI1800">
            <v>16.5</v>
          </cell>
        </row>
        <row r="1801">
          <cell r="BI1801">
            <v>11</v>
          </cell>
        </row>
        <row r="1802">
          <cell r="BI1802">
            <v>6</v>
          </cell>
        </row>
        <row r="1803">
          <cell r="BI1803">
            <v>18</v>
          </cell>
        </row>
        <row r="1804">
          <cell r="BI1804">
            <v>1</v>
          </cell>
        </row>
        <row r="1805">
          <cell r="BI1805">
            <v>1</v>
          </cell>
        </row>
        <row r="1806">
          <cell r="BI1806">
            <v>13</v>
          </cell>
        </row>
        <row r="1807">
          <cell r="BI1807">
            <v>4</v>
          </cell>
        </row>
        <row r="1808">
          <cell r="BI1808">
            <v>21</v>
          </cell>
        </row>
        <row r="1809">
          <cell r="BI1809">
            <v>4</v>
          </cell>
        </row>
        <row r="1810">
          <cell r="BI1810">
            <v>28</v>
          </cell>
        </row>
        <row r="1811">
          <cell r="BI1811">
            <v>6</v>
          </cell>
        </row>
        <row r="1812">
          <cell r="BI1812">
            <v>82</v>
          </cell>
        </row>
        <row r="1813">
          <cell r="BI1813">
            <v>5</v>
          </cell>
        </row>
        <row r="1814">
          <cell r="BI1814">
            <v>49</v>
          </cell>
        </row>
        <row r="1815">
          <cell r="BI1815">
            <v>14</v>
          </cell>
        </row>
        <row r="1816">
          <cell r="BI1816">
            <v>4</v>
          </cell>
        </row>
        <row r="1817">
          <cell r="BI1817">
            <v>11</v>
          </cell>
        </row>
        <row r="1818">
          <cell r="BI1818">
            <v>7</v>
          </cell>
        </row>
        <row r="1819">
          <cell r="BI1819">
            <v>2.5</v>
          </cell>
        </row>
        <row r="1820">
          <cell r="BI1820">
            <v>0.5</v>
          </cell>
        </row>
        <row r="1821">
          <cell r="BI1821">
            <v>14</v>
          </cell>
        </row>
        <row r="1822">
          <cell r="BI1822">
            <v>13</v>
          </cell>
        </row>
        <row r="1823">
          <cell r="BI1823">
            <v>94</v>
          </cell>
        </row>
        <row r="1824">
          <cell r="BI1824">
            <v>17</v>
          </cell>
        </row>
        <row r="1825">
          <cell r="BI1825">
            <v>1</v>
          </cell>
        </row>
        <row r="1826">
          <cell r="BI1826">
            <v>9</v>
          </cell>
        </row>
        <row r="1827">
          <cell r="BI1827">
            <v>9</v>
          </cell>
        </row>
        <row r="1828">
          <cell r="BI1828">
            <v>2</v>
          </cell>
        </row>
        <row r="1829">
          <cell r="BI1829">
            <v>5</v>
          </cell>
        </row>
        <row r="1830">
          <cell r="BI1830">
            <v>2</v>
          </cell>
        </row>
        <row r="1831">
          <cell r="BI1831">
            <v>35</v>
          </cell>
        </row>
        <row r="1832">
          <cell r="BI1832">
            <v>4</v>
          </cell>
        </row>
        <row r="1833">
          <cell r="BI1833">
            <v>1</v>
          </cell>
        </row>
        <row r="1834">
          <cell r="BI1834">
            <v>14</v>
          </cell>
        </row>
        <row r="1835">
          <cell r="BI1835">
            <v>48</v>
          </cell>
        </row>
        <row r="1836">
          <cell r="BI1836">
            <v>39</v>
          </cell>
        </row>
        <row r="1837">
          <cell r="BI1837">
            <v>9</v>
          </cell>
        </row>
        <row r="1838">
          <cell r="BI1838">
            <v>4</v>
          </cell>
        </row>
        <row r="1839">
          <cell r="BI1839">
            <v>4</v>
          </cell>
        </row>
        <row r="1840">
          <cell r="BI1840">
            <v>136</v>
          </cell>
        </row>
        <row r="1841">
          <cell r="BI1841">
            <v>89</v>
          </cell>
        </row>
        <row r="1842">
          <cell r="BI1842">
            <v>6</v>
          </cell>
        </row>
        <row r="1843">
          <cell r="BI1843">
            <v>2</v>
          </cell>
        </row>
        <row r="1844">
          <cell r="BI1844">
            <v>44</v>
          </cell>
        </row>
        <row r="1845">
          <cell r="BI1845">
            <v>6</v>
          </cell>
        </row>
        <row r="1846">
          <cell r="BI1846">
            <v>20</v>
          </cell>
        </row>
        <row r="1847">
          <cell r="BI1847">
            <v>32</v>
          </cell>
        </row>
        <row r="1848">
          <cell r="BI1848">
            <v>32</v>
          </cell>
        </row>
        <row r="1849">
          <cell r="BI1849">
            <v>30.5</v>
          </cell>
        </row>
        <row r="1850">
          <cell r="BI1850">
            <v>25</v>
          </cell>
        </row>
        <row r="1851">
          <cell r="BI1851">
            <v>7.5</v>
          </cell>
        </row>
        <row r="1852">
          <cell r="BI1852">
            <v>49</v>
          </cell>
        </row>
        <row r="1853">
          <cell r="BI1853">
            <v>96</v>
          </cell>
        </row>
        <row r="1854">
          <cell r="BI1854">
            <v>8.5</v>
          </cell>
        </row>
        <row r="1855">
          <cell r="BI1855">
            <v>35</v>
          </cell>
        </row>
        <row r="1856">
          <cell r="BI1856">
            <v>39</v>
          </cell>
        </row>
        <row r="1857">
          <cell r="BI1857">
            <v>49</v>
          </cell>
        </row>
        <row r="1858">
          <cell r="BI1858">
            <v>21</v>
          </cell>
        </row>
        <row r="1859">
          <cell r="BI1859">
            <v>12</v>
          </cell>
        </row>
        <row r="1860">
          <cell r="BI1860">
            <v>13.5</v>
          </cell>
        </row>
        <row r="1861">
          <cell r="BI1861">
            <v>3.5</v>
          </cell>
        </row>
        <row r="1862">
          <cell r="BI1862">
            <v>59</v>
          </cell>
        </row>
        <row r="1863">
          <cell r="BI1863">
            <v>25.5</v>
          </cell>
        </row>
        <row r="1864">
          <cell r="BI1864">
            <v>1</v>
          </cell>
        </row>
        <row r="1865">
          <cell r="BI1865">
            <v>9</v>
          </cell>
        </row>
        <row r="1866">
          <cell r="BI1866">
            <v>1</v>
          </cell>
        </row>
        <row r="1867">
          <cell r="BI1867">
            <v>33</v>
          </cell>
        </row>
        <row r="1868">
          <cell r="BI1868">
            <v>2</v>
          </cell>
        </row>
        <row r="1869">
          <cell r="BI1869">
            <v>31</v>
          </cell>
        </row>
        <row r="1870">
          <cell r="BI1870">
            <v>98</v>
          </cell>
        </row>
        <row r="1871">
          <cell r="BI1871">
            <v>32</v>
          </cell>
        </row>
        <row r="1872">
          <cell r="BI1872">
            <v>63</v>
          </cell>
        </row>
        <row r="1873">
          <cell r="BI1873">
            <v>7</v>
          </cell>
        </row>
        <row r="1874">
          <cell r="BI1874">
            <v>43</v>
          </cell>
        </row>
        <row r="1875">
          <cell r="BI1875">
            <v>3</v>
          </cell>
        </row>
        <row r="1876">
          <cell r="BI1876">
            <v>108</v>
          </cell>
        </row>
        <row r="1877">
          <cell r="BI1877">
            <v>1</v>
          </cell>
        </row>
        <row r="1878">
          <cell r="BI1878">
            <v>1</v>
          </cell>
        </row>
        <row r="1879">
          <cell r="BI1879">
            <v>3</v>
          </cell>
        </row>
        <row r="1880">
          <cell r="BI1880">
            <v>82</v>
          </cell>
        </row>
        <row r="1881">
          <cell r="BI1881">
            <v>284</v>
          </cell>
        </row>
        <row r="1882">
          <cell r="BI1882">
            <v>7</v>
          </cell>
        </row>
        <row r="1883">
          <cell r="BI1883">
            <v>55</v>
          </cell>
        </row>
        <row r="1884">
          <cell r="BI1884">
            <v>67</v>
          </cell>
        </row>
        <row r="1885">
          <cell r="BI1885">
            <v>17</v>
          </cell>
        </row>
        <row r="1886">
          <cell r="BI1886">
            <v>23</v>
          </cell>
        </row>
        <row r="1887">
          <cell r="BI1887">
            <v>121</v>
          </cell>
        </row>
        <row r="1888">
          <cell r="BI1888">
            <v>17</v>
          </cell>
        </row>
        <row r="1889">
          <cell r="BI1889">
            <v>38</v>
          </cell>
        </row>
        <row r="1890">
          <cell r="BI1890">
            <v>11</v>
          </cell>
        </row>
        <row r="1891">
          <cell r="BI1891">
            <v>9</v>
          </cell>
        </row>
        <row r="1892">
          <cell r="BI1892">
            <v>2</v>
          </cell>
        </row>
        <row r="1893">
          <cell r="BI1893">
            <v>4</v>
          </cell>
        </row>
        <row r="1894">
          <cell r="BI1894">
            <v>40</v>
          </cell>
        </row>
        <row r="1895">
          <cell r="BI1895">
            <v>206</v>
          </cell>
        </row>
        <row r="1896">
          <cell r="BI1896">
            <v>15</v>
          </cell>
        </row>
        <row r="1897">
          <cell r="BI1897">
            <v>64</v>
          </cell>
        </row>
        <row r="1898">
          <cell r="BI1898">
            <v>37</v>
          </cell>
        </row>
        <row r="1899">
          <cell r="BI1899">
            <v>44</v>
          </cell>
        </row>
        <row r="1900">
          <cell r="BI1900">
            <v>9</v>
          </cell>
        </row>
        <row r="1901">
          <cell r="BI1901">
            <v>159</v>
          </cell>
        </row>
        <row r="1902">
          <cell r="BI1902">
            <v>173</v>
          </cell>
        </row>
        <row r="1903">
          <cell r="BI1903">
            <v>8</v>
          </cell>
        </row>
        <row r="1904">
          <cell r="BI1904">
            <v>82</v>
          </cell>
        </row>
        <row r="1905">
          <cell r="BI1905">
            <v>10</v>
          </cell>
        </row>
        <row r="1906">
          <cell r="BI1906">
            <v>9</v>
          </cell>
        </row>
        <row r="1907">
          <cell r="BI1907">
            <v>30</v>
          </cell>
        </row>
        <row r="1908">
          <cell r="BI1908">
            <v>37</v>
          </cell>
        </row>
        <row r="1909">
          <cell r="BI1909">
            <v>33</v>
          </cell>
        </row>
        <row r="1910">
          <cell r="BI1910">
            <v>10</v>
          </cell>
        </row>
        <row r="1911">
          <cell r="BI1911">
            <v>1</v>
          </cell>
        </row>
        <row r="1912">
          <cell r="BI1912">
            <v>2</v>
          </cell>
        </row>
        <row r="1913">
          <cell r="BI1913">
            <v>48</v>
          </cell>
        </row>
        <row r="1914">
          <cell r="BI1914">
            <v>1</v>
          </cell>
        </row>
        <row r="1915">
          <cell r="BI1915">
            <v>69</v>
          </cell>
        </row>
        <row r="1916">
          <cell r="BI1916">
            <v>25</v>
          </cell>
        </row>
        <row r="1917">
          <cell r="BI1917">
            <v>34</v>
          </cell>
        </row>
        <row r="1918">
          <cell r="BI1918">
            <v>6</v>
          </cell>
        </row>
        <row r="1919">
          <cell r="BI1919">
            <v>5</v>
          </cell>
        </row>
        <row r="1920">
          <cell r="BI1920">
            <v>19</v>
          </cell>
        </row>
        <row r="1921">
          <cell r="BI1921">
            <v>514</v>
          </cell>
        </row>
        <row r="1922">
          <cell r="BI1922">
            <v>9</v>
          </cell>
        </row>
        <row r="1923">
          <cell r="BI1923">
            <v>2</v>
          </cell>
        </row>
        <row r="1924">
          <cell r="BI1924">
            <v>12</v>
          </cell>
        </row>
        <row r="1925">
          <cell r="BI1925">
            <v>8</v>
          </cell>
        </row>
        <row r="1926">
          <cell r="BI1926">
            <v>1</v>
          </cell>
        </row>
        <row r="1927">
          <cell r="BI1927">
            <v>9</v>
          </cell>
        </row>
        <row r="1928">
          <cell r="BI1928">
            <v>6</v>
          </cell>
        </row>
        <row r="1929">
          <cell r="BI1929">
            <v>9</v>
          </cell>
        </row>
        <row r="1930">
          <cell r="BI1930">
            <v>3</v>
          </cell>
        </row>
        <row r="1931">
          <cell r="BI1931">
            <v>17</v>
          </cell>
        </row>
        <row r="1932">
          <cell r="BI1932">
            <v>5</v>
          </cell>
        </row>
        <row r="1933">
          <cell r="BI1933">
            <v>30</v>
          </cell>
        </row>
        <row r="1934">
          <cell r="BI1934">
            <v>14</v>
          </cell>
        </row>
        <row r="1935">
          <cell r="BI1935">
            <v>7</v>
          </cell>
        </row>
        <row r="1936">
          <cell r="BI1936">
            <v>3</v>
          </cell>
        </row>
        <row r="1937">
          <cell r="BI1937">
            <v>82</v>
          </cell>
        </row>
        <row r="1938">
          <cell r="BI1938">
            <v>21</v>
          </cell>
        </row>
        <row r="1939">
          <cell r="BI1939">
            <v>45</v>
          </cell>
        </row>
        <row r="1940">
          <cell r="BI1940">
            <v>77</v>
          </cell>
        </row>
        <row r="1941">
          <cell r="BI1941">
            <v>65</v>
          </cell>
        </row>
        <row r="1942">
          <cell r="BI1942">
            <v>14</v>
          </cell>
        </row>
        <row r="1943">
          <cell r="BI1943">
            <v>52</v>
          </cell>
        </row>
        <row r="1944">
          <cell r="BI1944">
            <v>69</v>
          </cell>
        </row>
        <row r="1945">
          <cell r="BI1945">
            <v>22</v>
          </cell>
        </row>
        <row r="1946">
          <cell r="BI1946">
            <v>25</v>
          </cell>
        </row>
        <row r="1947">
          <cell r="BI1947">
            <v>108</v>
          </cell>
        </row>
        <row r="1948">
          <cell r="BI1948">
            <v>32</v>
          </cell>
        </row>
        <row r="1949">
          <cell r="BI1949">
            <v>1</v>
          </cell>
        </row>
        <row r="1950">
          <cell r="BI1950">
            <v>6</v>
          </cell>
        </row>
        <row r="1951">
          <cell r="BI1951">
            <v>1</v>
          </cell>
        </row>
        <row r="1952">
          <cell r="BI1952">
            <v>7</v>
          </cell>
        </row>
        <row r="1953">
          <cell r="BI1953">
            <v>4</v>
          </cell>
        </row>
        <row r="1954">
          <cell r="BI1954">
            <v>4</v>
          </cell>
        </row>
        <row r="1955">
          <cell r="BI1955">
            <v>10</v>
          </cell>
        </row>
        <row r="1956">
          <cell r="BI1956">
            <v>3</v>
          </cell>
        </row>
        <row r="1957">
          <cell r="BI1957">
            <v>9</v>
          </cell>
        </row>
        <row r="1958">
          <cell r="BI1958">
            <v>55</v>
          </cell>
        </row>
        <row r="1959">
          <cell r="BI1959">
            <v>38</v>
          </cell>
        </row>
        <row r="1960">
          <cell r="BI1960">
            <v>3</v>
          </cell>
        </row>
        <row r="1961">
          <cell r="BI1961">
            <v>71</v>
          </cell>
        </row>
        <row r="1962">
          <cell r="BI1962">
            <v>13.5</v>
          </cell>
        </row>
        <row r="1963">
          <cell r="BI1963">
            <v>28</v>
          </cell>
        </row>
        <row r="1964">
          <cell r="BI1964">
            <v>24</v>
          </cell>
        </row>
        <row r="1965">
          <cell r="BI1965">
            <v>32</v>
          </cell>
        </row>
        <row r="1966">
          <cell r="BI1966">
            <v>81</v>
          </cell>
        </row>
        <row r="1967">
          <cell r="BI1967">
            <v>42</v>
          </cell>
        </row>
        <row r="1968">
          <cell r="BI1968">
            <v>27</v>
          </cell>
        </row>
        <row r="1969">
          <cell r="BI1969">
            <v>41</v>
          </cell>
        </row>
        <row r="1970">
          <cell r="BI1970">
            <v>95</v>
          </cell>
        </row>
        <row r="1971">
          <cell r="BI1971">
            <v>92</v>
          </cell>
        </row>
        <row r="1972">
          <cell r="BI1972">
            <v>61</v>
          </cell>
        </row>
        <row r="1973">
          <cell r="BI1973">
            <v>124</v>
          </cell>
        </row>
        <row r="1974">
          <cell r="BI1974">
            <v>1</v>
          </cell>
        </row>
        <row r="1975">
          <cell r="BI1975">
            <v>1</v>
          </cell>
        </row>
        <row r="1976">
          <cell r="BI1976">
            <v>4</v>
          </cell>
        </row>
        <row r="1977">
          <cell r="BI1977">
            <v>7</v>
          </cell>
        </row>
        <row r="1978">
          <cell r="BI1978">
            <v>4</v>
          </cell>
        </row>
        <row r="1979">
          <cell r="BI1979">
            <v>47</v>
          </cell>
        </row>
        <row r="1980">
          <cell r="BI1980">
            <v>49</v>
          </cell>
        </row>
        <row r="1981">
          <cell r="BI1981">
            <v>191</v>
          </cell>
        </row>
        <row r="1982">
          <cell r="BI1982">
            <v>6</v>
          </cell>
        </row>
        <row r="1983">
          <cell r="BI1983">
            <v>276</v>
          </cell>
        </row>
        <row r="1984">
          <cell r="BI1984">
            <v>11</v>
          </cell>
        </row>
        <row r="1985">
          <cell r="BI1985">
            <v>9</v>
          </cell>
        </row>
        <row r="1986">
          <cell r="BI1986">
            <v>18</v>
          </cell>
        </row>
        <row r="1987">
          <cell r="BI1987">
            <v>5</v>
          </cell>
        </row>
        <row r="1988">
          <cell r="BI1988">
            <v>5</v>
          </cell>
        </row>
        <row r="1989">
          <cell r="BI1989">
            <v>7</v>
          </cell>
        </row>
        <row r="1990">
          <cell r="BI1990">
            <v>189</v>
          </cell>
        </row>
        <row r="1991">
          <cell r="BI1991">
            <v>3</v>
          </cell>
        </row>
        <row r="1992">
          <cell r="BI1992">
            <v>273</v>
          </cell>
        </row>
        <row r="1993">
          <cell r="BI1993">
            <v>9.5</v>
          </cell>
        </row>
        <row r="1994">
          <cell r="BI1994">
            <v>48</v>
          </cell>
        </row>
        <row r="1995">
          <cell r="BI1995">
            <v>27</v>
          </cell>
        </row>
        <row r="1996">
          <cell r="BI1996">
            <v>35</v>
          </cell>
        </row>
        <row r="1997">
          <cell r="BI1997">
            <v>11</v>
          </cell>
        </row>
        <row r="1998">
          <cell r="BI1998">
            <v>23</v>
          </cell>
        </row>
        <row r="1999">
          <cell r="BI1999">
            <v>2</v>
          </cell>
        </row>
        <row r="2000">
          <cell r="BI2000">
            <v>276</v>
          </cell>
        </row>
        <row r="2001">
          <cell r="BI2001">
            <v>59</v>
          </cell>
        </row>
        <row r="2002">
          <cell r="BI2002">
            <v>6</v>
          </cell>
        </row>
        <row r="2003">
          <cell r="BI2003">
            <v>1.5</v>
          </cell>
        </row>
        <row r="2004">
          <cell r="BI2004">
            <v>64</v>
          </cell>
        </row>
        <row r="2005">
          <cell r="BI2005">
            <v>15</v>
          </cell>
        </row>
        <row r="2006">
          <cell r="BI2006">
            <v>13</v>
          </cell>
        </row>
        <row r="2007">
          <cell r="BI2007">
            <v>3</v>
          </cell>
        </row>
        <row r="2008">
          <cell r="BI2008">
            <v>14</v>
          </cell>
        </row>
        <row r="2009">
          <cell r="BI2009">
            <v>2.5</v>
          </cell>
        </row>
        <row r="2010">
          <cell r="BI2010">
            <v>5</v>
          </cell>
        </row>
        <row r="2011">
          <cell r="BI2011">
            <v>14</v>
          </cell>
        </row>
        <row r="2012">
          <cell r="BI2012">
            <v>1</v>
          </cell>
        </row>
        <row r="2013">
          <cell r="BI2013">
            <v>1</v>
          </cell>
        </row>
        <row r="2014">
          <cell r="BI2014">
            <v>104</v>
          </cell>
        </row>
        <row r="2015">
          <cell r="BI2015">
            <v>25</v>
          </cell>
        </row>
        <row r="2016">
          <cell r="BI2016">
            <v>7</v>
          </cell>
        </row>
        <row r="2017">
          <cell r="BI2017">
            <v>333</v>
          </cell>
        </row>
        <row r="2018">
          <cell r="BI2018">
            <v>12</v>
          </cell>
        </row>
        <row r="2019">
          <cell r="BI2019">
            <v>13</v>
          </cell>
        </row>
        <row r="2020">
          <cell r="BI2020">
            <v>5</v>
          </cell>
        </row>
        <row r="2021">
          <cell r="BI2021">
            <v>2</v>
          </cell>
        </row>
        <row r="2022">
          <cell r="BI2022">
            <v>3</v>
          </cell>
        </row>
        <row r="2023">
          <cell r="BI2023">
            <v>4</v>
          </cell>
        </row>
        <row r="2024">
          <cell r="BI2024">
            <v>8</v>
          </cell>
        </row>
        <row r="2025">
          <cell r="BI2025">
            <v>5</v>
          </cell>
        </row>
        <row r="2026">
          <cell r="BI2026">
            <v>52</v>
          </cell>
        </row>
        <row r="2027">
          <cell r="BI2027">
            <v>5</v>
          </cell>
        </row>
        <row r="2028">
          <cell r="BI2028">
            <v>5.5</v>
          </cell>
        </row>
        <row r="2029">
          <cell r="BI2029">
            <v>6</v>
          </cell>
        </row>
        <row r="2030">
          <cell r="BI2030">
            <v>4</v>
          </cell>
        </row>
        <row r="2031">
          <cell r="BI2031">
            <v>28</v>
          </cell>
        </row>
        <row r="2032">
          <cell r="BI2032">
            <v>11.5</v>
          </cell>
        </row>
        <row r="2033">
          <cell r="BI2033">
            <v>14</v>
          </cell>
        </row>
        <row r="2034">
          <cell r="BI2034">
            <v>18.5</v>
          </cell>
        </row>
        <row r="2035">
          <cell r="BI2035">
            <v>90</v>
          </cell>
        </row>
        <row r="2036">
          <cell r="BI2036">
            <v>15.5</v>
          </cell>
        </row>
        <row r="2037">
          <cell r="BI2037">
            <v>23</v>
          </cell>
        </row>
        <row r="2038">
          <cell r="BI2038">
            <v>6</v>
          </cell>
        </row>
        <row r="2039">
          <cell r="BI2039">
            <v>7</v>
          </cell>
        </row>
        <row r="2040">
          <cell r="BI2040">
            <v>5</v>
          </cell>
        </row>
        <row r="2041">
          <cell r="BI2041">
            <v>6</v>
          </cell>
        </row>
        <row r="2042">
          <cell r="BI2042">
            <v>28</v>
          </cell>
        </row>
        <row r="2043">
          <cell r="BI2043">
            <v>5</v>
          </cell>
        </row>
        <row r="2044">
          <cell r="BI2044">
            <v>2</v>
          </cell>
        </row>
        <row r="2045">
          <cell r="BI2045">
            <v>2</v>
          </cell>
        </row>
        <row r="2046">
          <cell r="BI2046">
            <v>2</v>
          </cell>
        </row>
        <row r="2047">
          <cell r="BI2047">
            <v>1</v>
          </cell>
        </row>
        <row r="2048">
          <cell r="BI2048">
            <v>1</v>
          </cell>
        </row>
        <row r="2049">
          <cell r="BI2049">
            <v>1</v>
          </cell>
        </row>
        <row r="2050">
          <cell r="BI2050">
            <v>5</v>
          </cell>
        </row>
        <row r="2051">
          <cell r="BI2051">
            <v>3</v>
          </cell>
        </row>
        <row r="2052">
          <cell r="BI2052">
            <v>118</v>
          </cell>
        </row>
        <row r="2053">
          <cell r="BI2053">
            <v>3</v>
          </cell>
        </row>
        <row r="2054">
          <cell r="BI2054">
            <v>26</v>
          </cell>
        </row>
        <row r="2055">
          <cell r="BI2055">
            <v>5</v>
          </cell>
        </row>
        <row r="2056">
          <cell r="BI2056">
            <v>1</v>
          </cell>
        </row>
        <row r="2057">
          <cell r="BI2057">
            <v>2</v>
          </cell>
        </row>
        <row r="2058">
          <cell r="BI2058">
            <v>1</v>
          </cell>
        </row>
        <row r="2059">
          <cell r="BI2059">
            <v>36</v>
          </cell>
        </row>
        <row r="2060">
          <cell r="BI2060">
            <v>27.5</v>
          </cell>
        </row>
        <row r="2061">
          <cell r="BI2061">
            <v>8</v>
          </cell>
        </row>
        <row r="2062">
          <cell r="BI2062">
            <v>5.5</v>
          </cell>
        </row>
        <row r="2063">
          <cell r="BI2063">
            <v>29</v>
          </cell>
        </row>
        <row r="2064">
          <cell r="BI2064">
            <v>10.5</v>
          </cell>
        </row>
        <row r="2065">
          <cell r="BI2065">
            <v>26</v>
          </cell>
        </row>
        <row r="2066">
          <cell r="BI2066">
            <v>19</v>
          </cell>
        </row>
        <row r="2067">
          <cell r="BI2067">
            <v>10</v>
          </cell>
        </row>
        <row r="2068">
          <cell r="BI2068">
            <v>10</v>
          </cell>
        </row>
        <row r="2069">
          <cell r="BI2069">
            <v>9</v>
          </cell>
        </row>
        <row r="2070">
          <cell r="BI2070">
            <v>27</v>
          </cell>
        </row>
        <row r="2071">
          <cell r="BI2071">
            <v>14.5</v>
          </cell>
        </row>
        <row r="2072">
          <cell r="BI2072">
            <v>7</v>
          </cell>
        </row>
        <row r="2073">
          <cell r="BI2073">
            <v>7</v>
          </cell>
        </row>
        <row r="2074">
          <cell r="BI2074">
            <v>9</v>
          </cell>
        </row>
        <row r="2075">
          <cell r="BI2075">
            <v>24</v>
          </cell>
        </row>
        <row r="2076">
          <cell r="BI2076">
            <v>39</v>
          </cell>
        </row>
        <row r="2077">
          <cell r="BI2077">
            <v>103</v>
          </cell>
        </row>
        <row r="2078">
          <cell r="BI2078">
            <v>22</v>
          </cell>
        </row>
        <row r="2079">
          <cell r="BI2079">
            <v>11</v>
          </cell>
        </row>
        <row r="2080">
          <cell r="BI2080">
            <v>3</v>
          </cell>
        </row>
        <row r="2081">
          <cell r="BI2081">
            <v>9</v>
          </cell>
        </row>
        <row r="2082">
          <cell r="BI2082">
            <v>30.5</v>
          </cell>
        </row>
        <row r="2083">
          <cell r="BI2083">
            <v>41</v>
          </cell>
        </row>
        <row r="2084">
          <cell r="BI2084">
            <v>35</v>
          </cell>
        </row>
        <row r="2085">
          <cell r="BI2085">
            <v>36</v>
          </cell>
        </row>
        <row r="2086">
          <cell r="BI2086">
            <v>17</v>
          </cell>
        </row>
        <row r="2087">
          <cell r="BI2087">
            <v>300</v>
          </cell>
        </row>
        <row r="2088">
          <cell r="BI2088">
            <v>2</v>
          </cell>
        </row>
        <row r="2089">
          <cell r="BI2089">
            <v>31</v>
          </cell>
        </row>
        <row r="2090">
          <cell r="BI2090">
            <v>104</v>
          </cell>
        </row>
        <row r="2091">
          <cell r="BI2091">
            <v>43</v>
          </cell>
        </row>
        <row r="2092">
          <cell r="BI2092">
            <v>9</v>
          </cell>
        </row>
        <row r="2093">
          <cell r="BI2093">
            <v>9</v>
          </cell>
        </row>
        <row r="2094">
          <cell r="BI2094">
            <v>37</v>
          </cell>
        </row>
        <row r="2095">
          <cell r="BI2095">
            <v>43</v>
          </cell>
        </row>
        <row r="2096">
          <cell r="BI2096">
            <v>62</v>
          </cell>
        </row>
        <row r="2097">
          <cell r="BI2097">
            <v>30</v>
          </cell>
        </row>
        <row r="2098">
          <cell r="BI2098">
            <v>50</v>
          </cell>
        </row>
        <row r="2099">
          <cell r="BI2099">
            <v>4</v>
          </cell>
        </row>
        <row r="2100">
          <cell r="BI2100">
            <v>40</v>
          </cell>
        </row>
        <row r="2101">
          <cell r="BI2101">
            <v>37</v>
          </cell>
        </row>
        <row r="2102">
          <cell r="BI2102">
            <v>57</v>
          </cell>
        </row>
        <row r="2103">
          <cell r="BI2103">
            <v>1.5</v>
          </cell>
        </row>
        <row r="2104">
          <cell r="BI2104">
            <v>1</v>
          </cell>
        </row>
        <row r="2105">
          <cell r="BI2105">
            <v>1</v>
          </cell>
        </row>
        <row r="2106">
          <cell r="BI2106">
            <v>5</v>
          </cell>
        </row>
        <row r="2107">
          <cell r="BI2107">
            <v>5</v>
          </cell>
        </row>
        <row r="2108">
          <cell r="BI2108">
            <v>9</v>
          </cell>
        </row>
        <row r="2109">
          <cell r="BI2109">
            <v>5</v>
          </cell>
        </row>
        <row r="2110">
          <cell r="BI2110">
            <v>47</v>
          </cell>
        </row>
        <row r="2111">
          <cell r="BI2111">
            <v>25</v>
          </cell>
        </row>
        <row r="2112">
          <cell r="BI2112">
            <v>36</v>
          </cell>
        </row>
        <row r="2113">
          <cell r="BI2113">
            <v>28</v>
          </cell>
        </row>
        <row r="2114">
          <cell r="BI2114">
            <v>1</v>
          </cell>
        </row>
        <row r="2115">
          <cell r="BI2115">
            <v>87</v>
          </cell>
        </row>
        <row r="2116">
          <cell r="BI2116">
            <v>32</v>
          </cell>
        </row>
        <row r="2117">
          <cell r="BI2117">
            <v>3</v>
          </cell>
        </row>
        <row r="2118">
          <cell r="BI2118">
            <v>3</v>
          </cell>
        </row>
        <row r="2119">
          <cell r="BI2119">
            <v>24</v>
          </cell>
        </row>
        <row r="2120">
          <cell r="BI2120">
            <v>3</v>
          </cell>
        </row>
        <row r="2121">
          <cell r="BI2121">
            <v>40</v>
          </cell>
        </row>
        <row r="2122">
          <cell r="BI2122">
            <v>3</v>
          </cell>
        </row>
        <row r="2123">
          <cell r="BI2123">
            <v>3</v>
          </cell>
        </row>
        <row r="2124">
          <cell r="BI2124">
            <v>6</v>
          </cell>
        </row>
        <row r="2125">
          <cell r="BI2125">
            <v>11</v>
          </cell>
        </row>
        <row r="2126">
          <cell r="BI2126">
            <v>25</v>
          </cell>
        </row>
        <row r="2127">
          <cell r="BI2127">
            <v>10</v>
          </cell>
        </row>
        <row r="2128">
          <cell r="BI2128">
            <v>19</v>
          </cell>
        </row>
        <row r="2129">
          <cell r="BI2129">
            <v>10</v>
          </cell>
        </row>
        <row r="2130">
          <cell r="BI2130">
            <v>33</v>
          </cell>
        </row>
        <row r="2131">
          <cell r="BI2131">
            <v>1</v>
          </cell>
        </row>
        <row r="2132">
          <cell r="BI2132">
            <v>18.5</v>
          </cell>
        </row>
        <row r="2133">
          <cell r="BI2133">
            <v>34.5</v>
          </cell>
        </row>
        <row r="2134">
          <cell r="BI2134">
            <v>24</v>
          </cell>
        </row>
        <row r="2135">
          <cell r="BI2135">
            <v>3.5</v>
          </cell>
        </row>
        <row r="2136">
          <cell r="BI2136">
            <v>4</v>
          </cell>
        </row>
        <row r="2137">
          <cell r="BI2137">
            <v>1</v>
          </cell>
        </row>
        <row r="2138">
          <cell r="BI2138">
            <v>12.5</v>
          </cell>
        </row>
        <row r="2139">
          <cell r="BI2139">
            <v>9</v>
          </cell>
        </row>
        <row r="2140">
          <cell r="BI2140">
            <v>8</v>
          </cell>
        </row>
        <row r="2141">
          <cell r="BI2141">
            <v>8</v>
          </cell>
        </row>
        <row r="2142">
          <cell r="BI2142">
            <v>3.5</v>
          </cell>
        </row>
        <row r="2143">
          <cell r="BI2143">
            <v>1</v>
          </cell>
        </row>
        <row r="2144">
          <cell r="BI2144">
            <v>2.5</v>
          </cell>
        </row>
        <row r="2145">
          <cell r="BI2145">
            <v>2</v>
          </cell>
        </row>
        <row r="2146">
          <cell r="BI2146">
            <v>4</v>
          </cell>
        </row>
        <row r="2147">
          <cell r="BI2147">
            <v>1</v>
          </cell>
        </row>
        <row r="2148">
          <cell r="BI2148">
            <v>3</v>
          </cell>
        </row>
        <row r="2149">
          <cell r="BI2149">
            <v>3.5</v>
          </cell>
        </row>
        <row r="2150">
          <cell r="BI2150">
            <v>5</v>
          </cell>
        </row>
        <row r="2151">
          <cell r="BI2151">
            <v>5.5</v>
          </cell>
        </row>
        <row r="2152">
          <cell r="BI2152">
            <v>4</v>
          </cell>
        </row>
        <row r="2153">
          <cell r="BI2153">
            <v>3</v>
          </cell>
        </row>
        <row r="2154">
          <cell r="BI2154">
            <v>3.5</v>
          </cell>
        </row>
        <row r="2155">
          <cell r="BI2155">
            <v>2</v>
          </cell>
        </row>
        <row r="2156">
          <cell r="BI2156">
            <v>1</v>
          </cell>
        </row>
        <row r="2157">
          <cell r="BI2157">
            <v>1</v>
          </cell>
        </row>
        <row r="2158">
          <cell r="BI2158">
            <v>10</v>
          </cell>
        </row>
        <row r="2159">
          <cell r="BI2159">
            <v>16</v>
          </cell>
        </row>
        <row r="2160">
          <cell r="BI2160">
            <v>5</v>
          </cell>
        </row>
        <row r="2161">
          <cell r="BI2161">
            <v>6</v>
          </cell>
        </row>
        <row r="2162">
          <cell r="BI2162">
            <v>4</v>
          </cell>
        </row>
        <row r="2163">
          <cell r="BI2163">
            <v>6</v>
          </cell>
        </row>
        <row r="2164">
          <cell r="BI2164">
            <v>18</v>
          </cell>
        </row>
        <row r="2165">
          <cell r="BI2165">
            <v>9</v>
          </cell>
        </row>
        <row r="2166">
          <cell r="BI2166">
            <v>12.5</v>
          </cell>
        </row>
        <row r="2167">
          <cell r="BI2167">
            <v>6</v>
          </cell>
        </row>
        <row r="2168">
          <cell r="BI2168">
            <v>13</v>
          </cell>
        </row>
        <row r="2169">
          <cell r="BI2169">
            <v>13</v>
          </cell>
        </row>
        <row r="2170">
          <cell r="BI2170">
            <v>6</v>
          </cell>
        </row>
        <row r="2171">
          <cell r="BI2171">
            <v>3</v>
          </cell>
        </row>
        <row r="2172">
          <cell r="BI2172">
            <v>2</v>
          </cell>
        </row>
        <row r="2173">
          <cell r="BI2173">
            <v>23</v>
          </cell>
        </row>
        <row r="2174">
          <cell r="BI2174">
            <v>12</v>
          </cell>
        </row>
        <row r="2175">
          <cell r="BI2175">
            <v>1</v>
          </cell>
        </row>
        <row r="2176">
          <cell r="BI2176">
            <v>3</v>
          </cell>
        </row>
        <row r="2177">
          <cell r="BI2177">
            <v>32</v>
          </cell>
        </row>
        <row r="2178">
          <cell r="BI2178">
            <v>4</v>
          </cell>
        </row>
        <row r="2179">
          <cell r="BI2179">
            <v>13</v>
          </cell>
        </row>
        <row r="2180">
          <cell r="BI2180">
            <v>3</v>
          </cell>
        </row>
        <row r="2181">
          <cell r="BI2181">
            <v>17</v>
          </cell>
        </row>
        <row r="2182">
          <cell r="BI2182">
            <v>3</v>
          </cell>
        </row>
        <row r="2183">
          <cell r="BI2183">
            <v>5.5</v>
          </cell>
        </row>
        <row r="2184">
          <cell r="BI2184">
            <v>7</v>
          </cell>
        </row>
        <row r="2185">
          <cell r="BI2185">
            <v>1.5</v>
          </cell>
        </row>
        <row r="2186">
          <cell r="BI2186">
            <v>3</v>
          </cell>
        </row>
        <row r="2187">
          <cell r="BI2187">
            <v>1</v>
          </cell>
        </row>
        <row r="2188">
          <cell r="BI2188">
            <v>11</v>
          </cell>
        </row>
        <row r="2189">
          <cell r="BI2189">
            <v>9</v>
          </cell>
        </row>
        <row r="2190">
          <cell r="BI2190">
            <v>5</v>
          </cell>
        </row>
        <row r="2191">
          <cell r="BI2191">
            <v>40.5</v>
          </cell>
        </row>
        <row r="2192">
          <cell r="BI2192">
            <v>8</v>
          </cell>
        </row>
        <row r="2193">
          <cell r="BI2193">
            <v>1</v>
          </cell>
        </row>
        <row r="2194">
          <cell r="BI2194">
            <v>6</v>
          </cell>
        </row>
        <row r="2195">
          <cell r="BI2195">
            <v>2</v>
          </cell>
        </row>
        <row r="2196">
          <cell r="BI2196">
            <v>3</v>
          </cell>
        </row>
        <row r="2197">
          <cell r="BI2197">
            <v>4</v>
          </cell>
        </row>
        <row r="2198">
          <cell r="BI2198">
            <v>4</v>
          </cell>
        </row>
        <row r="2199">
          <cell r="BI2199">
            <v>10.5</v>
          </cell>
        </row>
        <row r="2200">
          <cell r="BI2200">
            <v>1</v>
          </cell>
        </row>
        <row r="2201">
          <cell r="BI2201">
            <v>23</v>
          </cell>
        </row>
        <row r="2202">
          <cell r="BI2202">
            <v>3</v>
          </cell>
        </row>
        <row r="2203">
          <cell r="BI2203">
            <v>11.5</v>
          </cell>
        </row>
        <row r="2204">
          <cell r="BI2204">
            <v>33</v>
          </cell>
        </row>
        <row r="2205">
          <cell r="BI2205">
            <v>7</v>
          </cell>
        </row>
        <row r="2206">
          <cell r="BI2206">
            <v>52</v>
          </cell>
        </row>
        <row r="2207">
          <cell r="BI2207">
            <v>1</v>
          </cell>
        </row>
        <row r="2208">
          <cell r="BI2208">
            <v>79</v>
          </cell>
        </row>
        <row r="2209">
          <cell r="BI2209">
            <v>41</v>
          </cell>
        </row>
        <row r="2210">
          <cell r="BI2210">
            <v>1</v>
          </cell>
        </row>
        <row r="2211">
          <cell r="BI2211">
            <v>4</v>
          </cell>
        </row>
        <row r="2212">
          <cell r="BI2212">
            <v>31</v>
          </cell>
        </row>
        <row r="2213">
          <cell r="BI2213">
            <v>24</v>
          </cell>
        </row>
        <row r="2214">
          <cell r="BI2214">
            <v>89</v>
          </cell>
        </row>
        <row r="2215">
          <cell r="BI2215">
            <v>2</v>
          </cell>
        </row>
        <row r="2216">
          <cell r="BI2216">
            <v>36</v>
          </cell>
        </row>
        <row r="2217">
          <cell r="BI2217">
            <v>16</v>
          </cell>
        </row>
        <row r="2218">
          <cell r="BI2218">
            <v>2</v>
          </cell>
        </row>
        <row r="2219">
          <cell r="BI2219">
            <v>5</v>
          </cell>
        </row>
        <row r="2220">
          <cell r="BI2220">
            <v>2</v>
          </cell>
        </row>
        <row r="2221">
          <cell r="BI2221">
            <v>10</v>
          </cell>
        </row>
        <row r="2222">
          <cell r="BI2222">
            <v>45</v>
          </cell>
        </row>
        <row r="2223">
          <cell r="BI2223">
            <v>15</v>
          </cell>
        </row>
        <row r="2224">
          <cell r="BI2224">
            <v>3</v>
          </cell>
        </row>
        <row r="2225">
          <cell r="BI2225">
            <v>14</v>
          </cell>
        </row>
        <row r="2226">
          <cell r="BI2226">
            <v>9</v>
          </cell>
        </row>
        <row r="2227">
          <cell r="BI2227">
            <v>11</v>
          </cell>
        </row>
        <row r="2228">
          <cell r="BI2228">
            <v>10</v>
          </cell>
        </row>
        <row r="2229">
          <cell r="BI2229">
            <v>2</v>
          </cell>
        </row>
        <row r="2230">
          <cell r="BI2230">
            <v>6</v>
          </cell>
        </row>
        <row r="2231">
          <cell r="BI2231">
            <v>24</v>
          </cell>
        </row>
        <row r="2232">
          <cell r="BI2232">
            <v>8</v>
          </cell>
        </row>
        <row r="2233">
          <cell r="BI2233">
            <v>17</v>
          </cell>
        </row>
        <row r="2234">
          <cell r="BI2234">
            <v>73</v>
          </cell>
        </row>
        <row r="2235">
          <cell r="BI2235">
            <v>5.5</v>
          </cell>
        </row>
        <row r="2236">
          <cell r="BI2236">
            <v>7</v>
          </cell>
        </row>
        <row r="2237">
          <cell r="BI2237">
            <v>14</v>
          </cell>
        </row>
        <row r="2238">
          <cell r="BI2238">
            <v>7</v>
          </cell>
        </row>
        <row r="2239">
          <cell r="BI2239">
            <v>9</v>
          </cell>
        </row>
        <row r="2240">
          <cell r="BI2240">
            <v>2</v>
          </cell>
        </row>
        <row r="2241">
          <cell r="BI2241">
            <v>12</v>
          </cell>
        </row>
        <row r="2242">
          <cell r="BI2242">
            <v>2</v>
          </cell>
        </row>
        <row r="2243">
          <cell r="BI2243">
            <v>2</v>
          </cell>
        </row>
        <row r="2244">
          <cell r="BI2244">
            <v>1</v>
          </cell>
        </row>
        <row r="2245">
          <cell r="BI2245">
            <v>20</v>
          </cell>
        </row>
        <row r="2246">
          <cell r="BI2246">
            <v>2</v>
          </cell>
        </row>
        <row r="2247">
          <cell r="BI2247">
            <v>1</v>
          </cell>
        </row>
        <row r="2248">
          <cell r="BI2248">
            <v>1</v>
          </cell>
        </row>
        <row r="2249">
          <cell r="BI2249">
            <v>21</v>
          </cell>
        </row>
        <row r="2250">
          <cell r="BI2250">
            <v>41</v>
          </cell>
        </row>
        <row r="2251">
          <cell r="BI2251">
            <v>9</v>
          </cell>
        </row>
        <row r="2252">
          <cell r="BI2252">
            <v>3</v>
          </cell>
        </row>
        <row r="2253">
          <cell r="BI2253">
            <v>4</v>
          </cell>
        </row>
        <row r="2254">
          <cell r="BI2254">
            <v>4</v>
          </cell>
        </row>
        <row r="2255">
          <cell r="BI2255">
            <v>1</v>
          </cell>
        </row>
        <row r="2256">
          <cell r="BI2256">
            <v>25</v>
          </cell>
        </row>
        <row r="2257">
          <cell r="BI2257">
            <v>25</v>
          </cell>
        </row>
        <row r="2258">
          <cell r="BI2258">
            <v>1</v>
          </cell>
        </row>
        <row r="2259">
          <cell r="BI2259">
            <v>44</v>
          </cell>
        </row>
        <row r="2260">
          <cell r="BI2260">
            <v>43</v>
          </cell>
        </row>
        <row r="2261">
          <cell r="BI2261">
            <v>34</v>
          </cell>
        </row>
        <row r="2262">
          <cell r="BI2262">
            <v>63</v>
          </cell>
        </row>
        <row r="2263">
          <cell r="BI2263">
            <v>15</v>
          </cell>
        </row>
        <row r="2264">
          <cell r="BI2264">
            <v>21</v>
          </cell>
        </row>
        <row r="2265">
          <cell r="BI2265">
            <v>11</v>
          </cell>
        </row>
        <row r="2266">
          <cell r="BI2266">
            <v>32</v>
          </cell>
        </row>
        <row r="2267">
          <cell r="BI2267">
            <v>33</v>
          </cell>
        </row>
        <row r="2268">
          <cell r="BI2268">
            <v>9</v>
          </cell>
        </row>
        <row r="2269">
          <cell r="BI2269">
            <v>1</v>
          </cell>
        </row>
        <row r="2270">
          <cell r="BI2270">
            <v>2</v>
          </cell>
        </row>
        <row r="2271">
          <cell r="BI2271">
            <v>37</v>
          </cell>
        </row>
        <row r="2272">
          <cell r="BI2272">
            <v>18</v>
          </cell>
        </row>
        <row r="2273">
          <cell r="BI2273">
            <v>18</v>
          </cell>
        </row>
        <row r="2274">
          <cell r="BI2274">
            <v>3</v>
          </cell>
        </row>
        <row r="2275">
          <cell r="BI2275">
            <v>11</v>
          </cell>
        </row>
        <row r="2276">
          <cell r="BI2276">
            <v>2</v>
          </cell>
        </row>
        <row r="2277">
          <cell r="BI2277">
            <v>60</v>
          </cell>
        </row>
        <row r="2278">
          <cell r="BI2278">
            <v>6.5</v>
          </cell>
        </row>
        <row r="2279">
          <cell r="BI2279">
            <v>3</v>
          </cell>
        </row>
        <row r="2280">
          <cell r="BI2280">
            <v>43</v>
          </cell>
        </row>
        <row r="2281">
          <cell r="BI2281">
            <v>18</v>
          </cell>
        </row>
        <row r="2282">
          <cell r="BI2282">
            <v>91</v>
          </cell>
        </row>
        <row r="2283">
          <cell r="BI2283">
            <v>30</v>
          </cell>
        </row>
        <row r="2284">
          <cell r="BI2284">
            <v>3</v>
          </cell>
        </row>
        <row r="2285">
          <cell r="BI2285">
            <v>10</v>
          </cell>
        </row>
        <row r="2286">
          <cell r="BI2286">
            <v>16</v>
          </cell>
        </row>
        <row r="2287">
          <cell r="BI2287">
            <v>21</v>
          </cell>
        </row>
        <row r="2288">
          <cell r="BI2288">
            <v>5</v>
          </cell>
        </row>
        <row r="2289">
          <cell r="BI2289">
            <v>9</v>
          </cell>
        </row>
        <row r="2290">
          <cell r="BI2290">
            <v>6</v>
          </cell>
        </row>
        <row r="2291">
          <cell r="BI2291">
            <v>2</v>
          </cell>
        </row>
        <row r="2292">
          <cell r="BI2292">
            <v>15</v>
          </cell>
        </row>
        <row r="2293">
          <cell r="BI2293">
            <v>22</v>
          </cell>
        </row>
        <row r="2294">
          <cell r="BI2294">
            <v>49</v>
          </cell>
        </row>
        <row r="2295">
          <cell r="BI2295">
            <v>23</v>
          </cell>
        </row>
        <row r="2296">
          <cell r="BI2296">
            <v>31</v>
          </cell>
        </row>
        <row r="2297">
          <cell r="BI2297">
            <v>3</v>
          </cell>
        </row>
        <row r="2298">
          <cell r="BI2298">
            <v>5</v>
          </cell>
        </row>
        <row r="2299">
          <cell r="BI2299">
            <v>6</v>
          </cell>
        </row>
        <row r="2300">
          <cell r="BI2300">
            <v>13</v>
          </cell>
        </row>
        <row r="2301">
          <cell r="BI2301">
            <v>17</v>
          </cell>
        </row>
        <row r="2302">
          <cell r="BI2302">
            <v>32</v>
          </cell>
        </row>
        <row r="2303">
          <cell r="BI2303">
            <v>13</v>
          </cell>
        </row>
        <row r="2304">
          <cell r="BI2304">
            <v>32</v>
          </cell>
        </row>
        <row r="2305">
          <cell r="BI2305">
            <v>4</v>
          </cell>
        </row>
        <row r="2306">
          <cell r="BI2306">
            <v>40</v>
          </cell>
        </row>
        <row r="2307">
          <cell r="BI2307">
            <v>21</v>
          </cell>
        </row>
        <row r="2308">
          <cell r="BI2308">
            <v>12</v>
          </cell>
        </row>
        <row r="2309">
          <cell r="BI2309">
            <v>2</v>
          </cell>
        </row>
        <row r="2310">
          <cell r="BI2310">
            <v>4</v>
          </cell>
        </row>
        <row r="2311">
          <cell r="BI2311">
            <v>1.5</v>
          </cell>
        </row>
        <row r="2312">
          <cell r="BI2312">
            <v>5.5</v>
          </cell>
        </row>
        <row r="2313">
          <cell r="BI2313">
            <v>8</v>
          </cell>
        </row>
        <row r="2314">
          <cell r="BI2314">
            <v>6</v>
          </cell>
        </row>
        <row r="2315">
          <cell r="BI2315">
            <v>8</v>
          </cell>
        </row>
        <row r="2316">
          <cell r="BI2316">
            <v>7</v>
          </cell>
        </row>
        <row r="2317">
          <cell r="BI2317">
            <v>11</v>
          </cell>
        </row>
        <row r="2318">
          <cell r="BI2318">
            <v>6</v>
          </cell>
        </row>
        <row r="2319">
          <cell r="BI2319">
            <v>1</v>
          </cell>
        </row>
        <row r="2320">
          <cell r="BI2320">
            <v>4.5</v>
          </cell>
        </row>
        <row r="2321">
          <cell r="BI2321">
            <v>6</v>
          </cell>
        </row>
        <row r="2322">
          <cell r="BI2322">
            <v>1</v>
          </cell>
        </row>
        <row r="2323">
          <cell r="BI2323">
            <v>3</v>
          </cell>
        </row>
        <row r="2324">
          <cell r="BI2324">
            <v>0.5</v>
          </cell>
        </row>
        <row r="2325">
          <cell r="BI2325">
            <v>11</v>
          </cell>
        </row>
        <row r="2326">
          <cell r="BI2326">
            <v>4</v>
          </cell>
        </row>
        <row r="2327">
          <cell r="BI2327">
            <v>16</v>
          </cell>
        </row>
        <row r="2328">
          <cell r="BI2328">
            <v>7.5</v>
          </cell>
        </row>
        <row r="2329">
          <cell r="BI2329">
            <v>2</v>
          </cell>
        </row>
        <row r="2330">
          <cell r="BI2330">
            <v>4</v>
          </cell>
        </row>
        <row r="2331">
          <cell r="BI2331">
            <v>26</v>
          </cell>
        </row>
        <row r="2332">
          <cell r="BI2332">
            <v>12</v>
          </cell>
        </row>
        <row r="2333">
          <cell r="BI2333">
            <v>4</v>
          </cell>
        </row>
        <row r="2334">
          <cell r="BI2334">
            <v>1</v>
          </cell>
        </row>
        <row r="2335">
          <cell r="BI2335">
            <v>2</v>
          </cell>
        </row>
        <row r="2336">
          <cell r="BI2336">
            <v>3</v>
          </cell>
        </row>
        <row r="2337">
          <cell r="BI2337">
            <v>3.5</v>
          </cell>
        </row>
        <row r="2338">
          <cell r="BI2338">
            <v>3.5</v>
          </cell>
        </row>
        <row r="2339">
          <cell r="BI2339">
            <v>2.5</v>
          </cell>
        </row>
        <row r="2340">
          <cell r="BI2340">
            <v>4.5</v>
          </cell>
        </row>
        <row r="2341">
          <cell r="BI2341">
            <v>9.5</v>
          </cell>
        </row>
        <row r="2342">
          <cell r="BI2342">
            <v>1</v>
          </cell>
        </row>
        <row r="2343">
          <cell r="BI2343">
            <v>1</v>
          </cell>
        </row>
        <row r="2344">
          <cell r="BI2344">
            <v>1</v>
          </cell>
        </row>
        <row r="2345">
          <cell r="BI2345">
            <v>34</v>
          </cell>
        </row>
        <row r="2346">
          <cell r="BI2346">
            <v>18</v>
          </cell>
        </row>
        <row r="2347">
          <cell r="BI2347">
            <v>7</v>
          </cell>
        </row>
        <row r="2348">
          <cell r="BI2348">
            <v>83</v>
          </cell>
        </row>
        <row r="2349">
          <cell r="BI2349">
            <v>235</v>
          </cell>
        </row>
        <row r="2350">
          <cell r="BI2350">
            <v>13</v>
          </cell>
        </row>
        <row r="2351">
          <cell r="BI2351">
            <v>8</v>
          </cell>
        </row>
        <row r="2352">
          <cell r="BI2352">
            <v>14</v>
          </cell>
        </row>
        <row r="2353">
          <cell r="BI2353">
            <v>54</v>
          </cell>
        </row>
        <row r="2354">
          <cell r="BI2354">
            <v>76</v>
          </cell>
        </row>
        <row r="2355">
          <cell r="BI2355">
            <v>4</v>
          </cell>
        </row>
        <row r="2356">
          <cell r="BI2356">
            <v>1</v>
          </cell>
        </row>
        <row r="2357">
          <cell r="BI2357">
            <v>1</v>
          </cell>
        </row>
        <row r="2358">
          <cell r="BI2358">
            <v>16</v>
          </cell>
        </row>
        <row r="2359">
          <cell r="BI2359">
            <v>6</v>
          </cell>
        </row>
        <row r="2360">
          <cell r="BI2360">
            <v>28</v>
          </cell>
        </row>
        <row r="2361">
          <cell r="BI2361">
            <v>5</v>
          </cell>
        </row>
        <row r="2362">
          <cell r="BI2362">
            <v>3.5</v>
          </cell>
        </row>
        <row r="2363">
          <cell r="BI2363">
            <v>8</v>
          </cell>
        </row>
        <row r="2364">
          <cell r="BI2364">
            <v>9</v>
          </cell>
        </row>
        <row r="2365">
          <cell r="BI2365">
            <v>7</v>
          </cell>
        </row>
        <row r="2366">
          <cell r="BI2366">
            <v>1</v>
          </cell>
        </row>
        <row r="2367">
          <cell r="BI2367">
            <v>3</v>
          </cell>
        </row>
        <row r="2368">
          <cell r="BI2368">
            <v>15</v>
          </cell>
        </row>
        <row r="2369">
          <cell r="BI2369">
            <v>23</v>
          </cell>
        </row>
        <row r="2370">
          <cell r="BI2370">
            <v>2</v>
          </cell>
        </row>
        <row r="2371">
          <cell r="BI2371">
            <v>32</v>
          </cell>
        </row>
        <row r="2372">
          <cell r="BI2372">
            <v>10</v>
          </cell>
        </row>
        <row r="2373">
          <cell r="BI2373">
            <v>11</v>
          </cell>
        </row>
        <row r="2374">
          <cell r="BI2374">
            <v>27</v>
          </cell>
        </row>
        <row r="2375">
          <cell r="BI2375">
            <v>13</v>
          </cell>
        </row>
        <row r="2376">
          <cell r="BI2376">
            <v>6</v>
          </cell>
        </row>
        <row r="2377">
          <cell r="BI2377">
            <v>29</v>
          </cell>
        </row>
        <row r="2378">
          <cell r="BI2378">
            <v>5</v>
          </cell>
        </row>
        <row r="2379">
          <cell r="BI2379">
            <v>10</v>
          </cell>
        </row>
        <row r="2380">
          <cell r="BI2380">
            <v>7</v>
          </cell>
        </row>
        <row r="2381">
          <cell r="BI2381">
            <v>3</v>
          </cell>
        </row>
        <row r="2382">
          <cell r="BI2382">
            <v>19</v>
          </cell>
        </row>
        <row r="2383">
          <cell r="BI2383">
            <v>18</v>
          </cell>
        </row>
        <row r="2384">
          <cell r="BI2384">
            <v>2</v>
          </cell>
        </row>
        <row r="2385">
          <cell r="BI2385">
            <v>2</v>
          </cell>
        </row>
        <row r="2386">
          <cell r="BI2386">
            <v>4</v>
          </cell>
        </row>
        <row r="2387">
          <cell r="BI2387">
            <v>5</v>
          </cell>
        </row>
        <row r="2388">
          <cell r="BI2388">
            <v>7</v>
          </cell>
        </row>
        <row r="2389">
          <cell r="BI2389">
            <v>5</v>
          </cell>
        </row>
        <row r="2390">
          <cell r="BI2390">
            <v>12</v>
          </cell>
        </row>
        <row r="2391">
          <cell r="BI2391">
            <v>1</v>
          </cell>
        </row>
        <row r="2392">
          <cell r="BI2392">
            <v>19.5</v>
          </cell>
        </row>
        <row r="2393">
          <cell r="BI2393">
            <v>4</v>
          </cell>
        </row>
        <row r="2394">
          <cell r="BI2394">
            <v>9.5</v>
          </cell>
        </row>
        <row r="2395">
          <cell r="BI2395">
            <v>7.5</v>
          </cell>
        </row>
        <row r="2396">
          <cell r="BI2396">
            <v>5</v>
          </cell>
        </row>
        <row r="2397">
          <cell r="BI2397">
            <v>2.5</v>
          </cell>
        </row>
        <row r="2398">
          <cell r="BI2398">
            <v>28</v>
          </cell>
        </row>
        <row r="2399">
          <cell r="BI2399">
            <v>3.5</v>
          </cell>
        </row>
        <row r="2400">
          <cell r="BI2400">
            <v>1</v>
          </cell>
        </row>
        <row r="2401">
          <cell r="BI2401">
            <v>9</v>
          </cell>
        </row>
        <row r="2402">
          <cell r="BI2402">
            <v>77</v>
          </cell>
        </row>
        <row r="2403">
          <cell r="BI2403">
            <v>192</v>
          </cell>
        </row>
        <row r="2404">
          <cell r="BI2404">
            <v>18</v>
          </cell>
        </row>
        <row r="2405">
          <cell r="BI2405">
            <v>4</v>
          </cell>
        </row>
        <row r="2406">
          <cell r="BI2406">
            <v>1</v>
          </cell>
        </row>
        <row r="2407">
          <cell r="BI2407">
            <v>1</v>
          </cell>
        </row>
        <row r="2408">
          <cell r="BI2408">
            <v>15</v>
          </cell>
        </row>
        <row r="2409">
          <cell r="BI2409">
            <v>8</v>
          </cell>
        </row>
        <row r="2410">
          <cell r="BI2410">
            <v>8</v>
          </cell>
        </row>
        <row r="2411">
          <cell r="BI2411">
            <v>12</v>
          </cell>
        </row>
        <row r="2412">
          <cell r="BI2412">
            <v>7</v>
          </cell>
        </row>
        <row r="2413">
          <cell r="BI2413">
            <v>2.5</v>
          </cell>
        </row>
        <row r="2414">
          <cell r="BI2414">
            <v>5.5</v>
          </cell>
        </row>
        <row r="2415">
          <cell r="BI2415">
            <v>13</v>
          </cell>
        </row>
        <row r="2416">
          <cell r="BI2416">
            <v>27</v>
          </cell>
        </row>
        <row r="2417">
          <cell r="BI2417">
            <v>5.5</v>
          </cell>
        </row>
        <row r="2418">
          <cell r="BI2418">
            <v>2</v>
          </cell>
        </row>
        <row r="2419">
          <cell r="BI2419">
            <v>1</v>
          </cell>
        </row>
        <row r="2420">
          <cell r="BI2420">
            <v>7</v>
          </cell>
        </row>
        <row r="2421">
          <cell r="BI2421">
            <v>2</v>
          </cell>
        </row>
        <row r="2422">
          <cell r="BI2422">
            <v>5</v>
          </cell>
        </row>
        <row r="2423">
          <cell r="BI2423">
            <v>4</v>
          </cell>
        </row>
        <row r="2424">
          <cell r="BI2424">
            <v>1</v>
          </cell>
        </row>
        <row r="2425">
          <cell r="BI2425">
            <v>40</v>
          </cell>
        </row>
        <row r="2426">
          <cell r="BI2426">
            <v>7</v>
          </cell>
        </row>
        <row r="2427">
          <cell r="BI2427">
            <v>22</v>
          </cell>
        </row>
        <row r="2428">
          <cell r="BI2428">
            <v>1</v>
          </cell>
        </row>
        <row r="2429">
          <cell r="BI2429">
            <v>46</v>
          </cell>
        </row>
        <row r="2430">
          <cell r="BI2430">
            <v>23</v>
          </cell>
        </row>
        <row r="2431">
          <cell r="BI2431">
            <v>21</v>
          </cell>
        </row>
        <row r="2432">
          <cell r="BI2432">
            <v>18</v>
          </cell>
        </row>
        <row r="2433">
          <cell r="BI2433">
            <v>18</v>
          </cell>
        </row>
        <row r="2434">
          <cell r="BI2434">
            <v>59</v>
          </cell>
        </row>
        <row r="2435">
          <cell r="BI2435">
            <v>2</v>
          </cell>
        </row>
        <row r="2436">
          <cell r="BI2436">
            <v>41</v>
          </cell>
        </row>
        <row r="2437">
          <cell r="BI2437">
            <v>2</v>
          </cell>
        </row>
        <row r="2438">
          <cell r="BI2438">
            <v>9</v>
          </cell>
        </row>
        <row r="2439">
          <cell r="BI2439">
            <v>5</v>
          </cell>
        </row>
        <row r="2440">
          <cell r="BI2440">
            <v>8</v>
          </cell>
        </row>
        <row r="2441">
          <cell r="BI2441">
            <v>5</v>
          </cell>
        </row>
        <row r="2442">
          <cell r="BI2442">
            <v>7</v>
          </cell>
        </row>
        <row r="2443">
          <cell r="BI2443">
            <v>72</v>
          </cell>
        </row>
        <row r="2444">
          <cell r="BI2444">
            <v>121</v>
          </cell>
        </row>
        <row r="2445">
          <cell r="BI2445">
            <v>22</v>
          </cell>
        </row>
        <row r="2446">
          <cell r="BI2446">
            <v>7</v>
          </cell>
        </row>
        <row r="2447">
          <cell r="BI2447">
            <v>1</v>
          </cell>
        </row>
        <row r="2448">
          <cell r="BI2448">
            <v>44</v>
          </cell>
        </row>
        <row r="2449">
          <cell r="BI2449">
            <v>1</v>
          </cell>
        </row>
        <row r="2450">
          <cell r="BI2450">
            <v>163</v>
          </cell>
        </row>
        <row r="2451">
          <cell r="BI2451">
            <v>1</v>
          </cell>
        </row>
        <row r="2452">
          <cell r="BI2452">
            <v>2</v>
          </cell>
        </row>
        <row r="2453">
          <cell r="BI2453">
            <v>4</v>
          </cell>
        </row>
        <row r="2454">
          <cell r="BI2454">
            <v>57</v>
          </cell>
        </row>
        <row r="2455">
          <cell r="BI2455">
            <v>17</v>
          </cell>
        </row>
        <row r="2456">
          <cell r="BI2456">
            <v>24</v>
          </cell>
        </row>
        <row r="2457">
          <cell r="BI2457">
            <v>23</v>
          </cell>
        </row>
        <row r="2458">
          <cell r="BI2458">
            <v>34</v>
          </cell>
        </row>
        <row r="2459">
          <cell r="BI2459">
            <v>4</v>
          </cell>
        </row>
        <row r="2460">
          <cell r="BI2460">
            <v>7</v>
          </cell>
        </row>
        <row r="2461">
          <cell r="BI2461">
            <v>16</v>
          </cell>
        </row>
        <row r="2462">
          <cell r="BI2462">
            <v>20</v>
          </cell>
        </row>
        <row r="2463">
          <cell r="BI2463">
            <v>9</v>
          </cell>
        </row>
        <row r="2464">
          <cell r="BI2464">
            <v>3</v>
          </cell>
        </row>
        <row r="2465">
          <cell r="BI2465">
            <v>1</v>
          </cell>
        </row>
        <row r="2466">
          <cell r="BI2466">
            <v>18</v>
          </cell>
        </row>
        <row r="2467">
          <cell r="BI2467">
            <v>2</v>
          </cell>
        </row>
        <row r="2468">
          <cell r="BI2468">
            <v>1</v>
          </cell>
        </row>
        <row r="2469">
          <cell r="BI2469">
            <v>21</v>
          </cell>
        </row>
        <row r="2470">
          <cell r="BI2470">
            <v>12</v>
          </cell>
        </row>
        <row r="2471">
          <cell r="BI2471">
            <v>9</v>
          </cell>
        </row>
        <row r="2472">
          <cell r="BI2472">
            <v>6</v>
          </cell>
        </row>
        <row r="2473">
          <cell r="BI2473">
            <v>1</v>
          </cell>
        </row>
        <row r="2474">
          <cell r="BI2474">
            <v>2</v>
          </cell>
        </row>
        <row r="2475">
          <cell r="BI2475">
            <v>44</v>
          </cell>
        </row>
        <row r="2476">
          <cell r="BI2476">
            <v>14</v>
          </cell>
        </row>
        <row r="2477">
          <cell r="BI2477">
            <v>15</v>
          </cell>
        </row>
        <row r="2478">
          <cell r="BI2478">
            <v>24</v>
          </cell>
        </row>
        <row r="2479">
          <cell r="BI2479">
            <v>34</v>
          </cell>
        </row>
        <row r="2480">
          <cell r="BI2480">
            <v>1</v>
          </cell>
        </row>
        <row r="2481">
          <cell r="BI2481">
            <v>9</v>
          </cell>
        </row>
        <row r="2482">
          <cell r="BI2482">
            <v>19</v>
          </cell>
        </row>
        <row r="2483">
          <cell r="BI2483">
            <v>3</v>
          </cell>
        </row>
        <row r="2484">
          <cell r="BI2484">
            <v>1</v>
          </cell>
        </row>
        <row r="2485">
          <cell r="BI2485">
            <v>2</v>
          </cell>
        </row>
        <row r="2486">
          <cell r="BI2486">
            <v>38</v>
          </cell>
        </row>
        <row r="2487">
          <cell r="BI2487">
            <v>7</v>
          </cell>
        </row>
        <row r="2488">
          <cell r="BI2488">
            <v>1</v>
          </cell>
        </row>
        <row r="2489">
          <cell r="BI2489">
            <v>14</v>
          </cell>
        </row>
        <row r="2490">
          <cell r="BI2490">
            <v>51</v>
          </cell>
        </row>
        <row r="2491">
          <cell r="BI2491">
            <v>3</v>
          </cell>
        </row>
        <row r="2492">
          <cell r="BI2492">
            <v>1.5</v>
          </cell>
        </row>
        <row r="2493">
          <cell r="BI2493">
            <v>19</v>
          </cell>
        </row>
        <row r="2494">
          <cell r="BI2494">
            <v>4.5</v>
          </cell>
        </row>
        <row r="2495">
          <cell r="BI2495">
            <v>26</v>
          </cell>
        </row>
        <row r="2496">
          <cell r="BI2496">
            <v>1.5</v>
          </cell>
        </row>
        <row r="2497">
          <cell r="BI2497">
            <v>4</v>
          </cell>
        </row>
        <row r="2498">
          <cell r="BI2498">
            <v>1</v>
          </cell>
        </row>
        <row r="2499">
          <cell r="BI2499">
            <v>2</v>
          </cell>
        </row>
        <row r="2500">
          <cell r="BI2500">
            <v>1</v>
          </cell>
        </row>
        <row r="2501">
          <cell r="BI2501">
            <v>4</v>
          </cell>
        </row>
        <row r="2502">
          <cell r="BI2502">
            <v>3</v>
          </cell>
        </row>
        <row r="2503">
          <cell r="BI2503">
            <v>2</v>
          </cell>
        </row>
        <row r="2504">
          <cell r="BI2504">
            <v>25</v>
          </cell>
        </row>
        <row r="2505">
          <cell r="BI2505">
            <v>5</v>
          </cell>
        </row>
        <row r="2506">
          <cell r="BI2506">
            <v>3</v>
          </cell>
        </row>
        <row r="2507">
          <cell r="BI2507">
            <v>1</v>
          </cell>
        </row>
        <row r="2508">
          <cell r="BI2508">
            <v>1</v>
          </cell>
        </row>
        <row r="2509">
          <cell r="BI2509">
            <v>6</v>
          </cell>
        </row>
        <row r="2510">
          <cell r="BI2510">
            <v>137</v>
          </cell>
        </row>
        <row r="2511">
          <cell r="BI2511">
            <v>4</v>
          </cell>
        </row>
        <row r="2512">
          <cell r="BI2512">
            <v>8</v>
          </cell>
        </row>
        <row r="2513">
          <cell r="BI2513">
            <v>10</v>
          </cell>
        </row>
        <row r="2514">
          <cell r="BI2514">
            <v>25</v>
          </cell>
        </row>
        <row r="2515">
          <cell r="BI2515">
            <v>59</v>
          </cell>
        </row>
        <row r="2516">
          <cell r="BI2516">
            <v>1</v>
          </cell>
        </row>
        <row r="2517">
          <cell r="BI2517">
            <v>10</v>
          </cell>
        </row>
        <row r="2518">
          <cell r="BI2518">
            <v>3</v>
          </cell>
        </row>
        <row r="2519">
          <cell r="BI2519">
            <v>3</v>
          </cell>
        </row>
        <row r="2520">
          <cell r="BI2520">
            <v>39</v>
          </cell>
        </row>
        <row r="2521">
          <cell r="BI2521">
            <v>8</v>
          </cell>
        </row>
        <row r="2522">
          <cell r="BI2522">
            <v>1</v>
          </cell>
        </row>
        <row r="2523">
          <cell r="BI2523">
            <v>7.5</v>
          </cell>
        </row>
        <row r="2524">
          <cell r="BI2524">
            <v>2</v>
          </cell>
        </row>
        <row r="2525">
          <cell r="BI2525">
            <v>33</v>
          </cell>
        </row>
        <row r="2526">
          <cell r="BI2526">
            <v>54</v>
          </cell>
        </row>
        <row r="2527">
          <cell r="BI2527">
            <v>5.5</v>
          </cell>
        </row>
        <row r="2528">
          <cell r="BI2528">
            <v>11.5</v>
          </cell>
        </row>
        <row r="2529">
          <cell r="BI2529">
            <v>10</v>
          </cell>
        </row>
        <row r="2530">
          <cell r="BI2530">
            <v>4</v>
          </cell>
        </row>
        <row r="2531">
          <cell r="BI2531">
            <v>8.5</v>
          </cell>
        </row>
        <row r="2532">
          <cell r="BI2532">
            <v>3</v>
          </cell>
        </row>
        <row r="2533">
          <cell r="BI2533">
            <v>4</v>
          </cell>
        </row>
        <row r="2534">
          <cell r="BI2534">
            <v>3.5</v>
          </cell>
        </row>
        <row r="2535">
          <cell r="BI2535">
            <v>4</v>
          </cell>
        </row>
        <row r="2536">
          <cell r="BI2536">
            <v>18</v>
          </cell>
        </row>
        <row r="2537">
          <cell r="BI2537">
            <v>6</v>
          </cell>
        </row>
        <row r="2538">
          <cell r="BI2538">
            <v>3.5</v>
          </cell>
        </row>
        <row r="2539">
          <cell r="BI2539">
            <v>7</v>
          </cell>
        </row>
        <row r="2540">
          <cell r="BI2540">
            <v>43</v>
          </cell>
        </row>
        <row r="2541">
          <cell r="BI2541">
            <v>26</v>
          </cell>
        </row>
        <row r="2542">
          <cell r="BI2542">
            <v>19</v>
          </cell>
        </row>
        <row r="2543">
          <cell r="BI2543">
            <v>48</v>
          </cell>
        </row>
        <row r="2544">
          <cell r="BI2544">
            <v>1.5</v>
          </cell>
        </row>
        <row r="2545">
          <cell r="BI2545">
            <v>2.5</v>
          </cell>
        </row>
        <row r="2546">
          <cell r="BI2546">
            <v>97</v>
          </cell>
        </row>
        <row r="2547">
          <cell r="BI2547">
            <v>65</v>
          </cell>
        </row>
        <row r="2548">
          <cell r="BI2548">
            <v>110</v>
          </cell>
        </row>
        <row r="2549">
          <cell r="BI2549">
            <v>34</v>
          </cell>
        </row>
        <row r="2550">
          <cell r="BI2550">
            <v>8</v>
          </cell>
        </row>
        <row r="2551">
          <cell r="BI2551">
            <v>1</v>
          </cell>
        </row>
        <row r="2552">
          <cell r="BI2552">
            <v>1</v>
          </cell>
        </row>
        <row r="2553">
          <cell r="BI2553">
            <v>61</v>
          </cell>
        </row>
        <row r="2554">
          <cell r="BI2554">
            <v>4</v>
          </cell>
        </row>
        <row r="2555">
          <cell r="BI2555">
            <v>1</v>
          </cell>
        </row>
        <row r="2556">
          <cell r="BI2556">
            <v>9</v>
          </cell>
        </row>
        <row r="2557">
          <cell r="BI2557">
            <v>26</v>
          </cell>
        </row>
        <row r="2558">
          <cell r="BI2558">
            <v>229</v>
          </cell>
        </row>
        <row r="2559">
          <cell r="BI2559">
            <v>28</v>
          </cell>
        </row>
        <row r="2560">
          <cell r="BI2560">
            <v>7</v>
          </cell>
        </row>
        <row r="2561">
          <cell r="BI2561">
            <v>1</v>
          </cell>
        </row>
        <row r="2562">
          <cell r="BI2562">
            <v>19</v>
          </cell>
        </row>
        <row r="2563">
          <cell r="BI2563">
            <v>2</v>
          </cell>
        </row>
        <row r="2564">
          <cell r="BI2564">
            <v>1</v>
          </cell>
        </row>
        <row r="2565">
          <cell r="BI2565">
            <v>7</v>
          </cell>
        </row>
        <row r="2566">
          <cell r="BI2566">
            <v>2</v>
          </cell>
        </row>
        <row r="2567">
          <cell r="BI2567">
            <v>90</v>
          </cell>
        </row>
        <row r="2568">
          <cell r="BI2568">
            <v>2</v>
          </cell>
        </row>
        <row r="2569">
          <cell r="BI2569">
            <v>2</v>
          </cell>
        </row>
        <row r="2570">
          <cell r="BI2570">
            <v>1</v>
          </cell>
        </row>
        <row r="2571">
          <cell r="BI2571">
            <v>4</v>
          </cell>
        </row>
        <row r="2572">
          <cell r="BI2572">
            <v>84</v>
          </cell>
        </row>
        <row r="2573">
          <cell r="BI2573">
            <v>3</v>
          </cell>
        </row>
        <row r="2574">
          <cell r="BI2574">
            <v>57</v>
          </cell>
        </row>
        <row r="2575">
          <cell r="BI2575">
            <v>2</v>
          </cell>
        </row>
        <row r="2576">
          <cell r="BI2576">
            <v>58</v>
          </cell>
        </row>
        <row r="2577">
          <cell r="BI2577">
            <v>69</v>
          </cell>
        </row>
        <row r="2578">
          <cell r="BI2578">
            <v>19</v>
          </cell>
        </row>
        <row r="2579">
          <cell r="BI2579">
            <v>7</v>
          </cell>
        </row>
        <row r="2580">
          <cell r="BI2580">
            <v>17</v>
          </cell>
        </row>
        <row r="2581">
          <cell r="BI2581">
            <v>216</v>
          </cell>
        </row>
        <row r="2582">
          <cell r="BI2582">
            <v>20</v>
          </cell>
        </row>
        <row r="2583">
          <cell r="BI2583">
            <v>119</v>
          </cell>
        </row>
        <row r="2584">
          <cell r="BI2584">
            <v>42</v>
          </cell>
        </row>
        <row r="2585">
          <cell r="BI2585">
            <v>82</v>
          </cell>
        </row>
        <row r="2586">
          <cell r="BI2586">
            <v>529</v>
          </cell>
        </row>
        <row r="2587">
          <cell r="BI2587">
            <v>56</v>
          </cell>
        </row>
        <row r="2588">
          <cell r="BI2588">
            <v>19</v>
          </cell>
        </row>
        <row r="2589">
          <cell r="BI2589">
            <v>4</v>
          </cell>
        </row>
        <row r="2590">
          <cell r="BI2590">
            <v>11</v>
          </cell>
        </row>
        <row r="2591">
          <cell r="BI2591">
            <v>16</v>
          </cell>
        </row>
        <row r="2592">
          <cell r="BI2592">
            <v>11</v>
          </cell>
        </row>
        <row r="2593">
          <cell r="BI2593">
            <v>2</v>
          </cell>
        </row>
        <row r="2594">
          <cell r="BI2594">
            <v>22</v>
          </cell>
        </row>
        <row r="2595">
          <cell r="BI2595">
            <v>2</v>
          </cell>
        </row>
        <row r="2596">
          <cell r="BI2596">
            <v>3</v>
          </cell>
        </row>
        <row r="2597">
          <cell r="BI2597">
            <v>68</v>
          </cell>
        </row>
        <row r="2598">
          <cell r="BI2598">
            <v>13</v>
          </cell>
        </row>
        <row r="2599">
          <cell r="BI2599">
            <v>11</v>
          </cell>
        </row>
        <row r="2600">
          <cell r="BI2600">
            <v>7</v>
          </cell>
        </row>
        <row r="2601">
          <cell r="BI2601">
            <v>10</v>
          </cell>
        </row>
        <row r="2602">
          <cell r="BI2602">
            <v>12</v>
          </cell>
        </row>
        <row r="2603">
          <cell r="BI2603">
            <v>9</v>
          </cell>
        </row>
        <row r="2604">
          <cell r="BI2604">
            <v>9</v>
          </cell>
        </row>
        <row r="2605">
          <cell r="BI2605">
            <v>3</v>
          </cell>
        </row>
        <row r="2606">
          <cell r="BI2606">
            <v>2</v>
          </cell>
        </row>
        <row r="2607">
          <cell r="BI2607">
            <v>2</v>
          </cell>
        </row>
        <row r="2608">
          <cell r="BI2608">
            <v>1</v>
          </cell>
        </row>
        <row r="2609">
          <cell r="BI2609">
            <v>4</v>
          </cell>
        </row>
        <row r="2610">
          <cell r="BI2610">
            <v>5</v>
          </cell>
        </row>
        <row r="2611">
          <cell r="BI2611">
            <v>7</v>
          </cell>
        </row>
        <row r="2612">
          <cell r="BI2612">
            <v>8</v>
          </cell>
        </row>
        <row r="2613">
          <cell r="BI2613">
            <v>15</v>
          </cell>
        </row>
        <row r="2614">
          <cell r="BI2614">
            <v>36</v>
          </cell>
        </row>
        <row r="2615">
          <cell r="BI2615">
            <v>9</v>
          </cell>
        </row>
        <row r="2616">
          <cell r="BI2616">
            <v>26</v>
          </cell>
        </row>
        <row r="2617">
          <cell r="BI2617">
            <v>20</v>
          </cell>
        </row>
        <row r="2618">
          <cell r="BI2618">
            <v>5</v>
          </cell>
        </row>
        <row r="2619">
          <cell r="BI2619">
            <v>1</v>
          </cell>
        </row>
        <row r="2620">
          <cell r="BI2620">
            <v>1</v>
          </cell>
        </row>
        <row r="2621">
          <cell r="BI2621">
            <v>1</v>
          </cell>
        </row>
        <row r="2622">
          <cell r="BI2622">
            <v>4</v>
          </cell>
        </row>
        <row r="2623">
          <cell r="BI2623">
            <v>274</v>
          </cell>
        </row>
        <row r="2624">
          <cell r="BI2624">
            <v>7</v>
          </cell>
        </row>
        <row r="2625">
          <cell r="BI2625">
            <v>47</v>
          </cell>
        </row>
        <row r="2626">
          <cell r="BI2626">
            <v>4</v>
          </cell>
        </row>
        <row r="2627">
          <cell r="BI2627">
            <v>38</v>
          </cell>
        </row>
        <row r="2628">
          <cell r="BI2628">
            <v>379</v>
          </cell>
        </row>
        <row r="2629">
          <cell r="BI2629">
            <v>152</v>
          </cell>
        </row>
        <row r="2630">
          <cell r="BI2630">
            <v>22</v>
          </cell>
        </row>
        <row r="2631">
          <cell r="BI2631">
            <v>12</v>
          </cell>
        </row>
        <row r="2632">
          <cell r="BI2632">
            <v>23</v>
          </cell>
        </row>
        <row r="2633">
          <cell r="BI2633">
            <v>2</v>
          </cell>
        </row>
        <row r="2634">
          <cell r="BI2634">
            <v>2</v>
          </cell>
        </row>
        <row r="2635">
          <cell r="BI2635">
            <v>3</v>
          </cell>
        </row>
        <row r="2636">
          <cell r="BI2636">
            <v>6</v>
          </cell>
        </row>
        <row r="2637">
          <cell r="BI2637">
            <v>8</v>
          </cell>
        </row>
        <row r="2638">
          <cell r="BI2638">
            <v>1</v>
          </cell>
        </row>
        <row r="2639">
          <cell r="BI2639">
            <v>7</v>
          </cell>
        </row>
        <row r="2640">
          <cell r="BI2640">
            <v>3</v>
          </cell>
        </row>
        <row r="2641">
          <cell r="BI2641">
            <v>1</v>
          </cell>
        </row>
        <row r="2642">
          <cell r="BI2642">
            <v>2</v>
          </cell>
        </row>
        <row r="2643">
          <cell r="BI2643">
            <v>3</v>
          </cell>
        </row>
        <row r="2644">
          <cell r="BI2644">
            <v>2</v>
          </cell>
        </row>
        <row r="2645">
          <cell r="BI2645">
            <v>18</v>
          </cell>
        </row>
        <row r="2646">
          <cell r="BI2646">
            <v>3</v>
          </cell>
        </row>
        <row r="2647">
          <cell r="BI2647">
            <v>2</v>
          </cell>
        </row>
        <row r="2648">
          <cell r="BI2648">
            <v>2.5</v>
          </cell>
        </row>
        <row r="2649">
          <cell r="BI2649">
            <v>6</v>
          </cell>
        </row>
        <row r="2650">
          <cell r="BI2650">
            <v>2.5</v>
          </cell>
        </row>
        <row r="2651">
          <cell r="BI2651">
            <v>9.5</v>
          </cell>
        </row>
        <row r="2652">
          <cell r="BI2652">
            <v>11</v>
          </cell>
        </row>
        <row r="2653">
          <cell r="BI2653">
            <v>23</v>
          </cell>
        </row>
        <row r="2654">
          <cell r="BI2654">
            <v>90</v>
          </cell>
        </row>
        <row r="2655">
          <cell r="BI2655">
            <v>26</v>
          </cell>
        </row>
        <row r="2656">
          <cell r="BI2656">
            <v>22</v>
          </cell>
        </row>
        <row r="2657">
          <cell r="BI2657">
            <v>11</v>
          </cell>
        </row>
        <row r="2658">
          <cell r="BI2658">
            <v>14</v>
          </cell>
        </row>
        <row r="2659">
          <cell r="BI2659">
            <v>7.5</v>
          </cell>
        </row>
        <row r="2660">
          <cell r="BI2660">
            <v>23</v>
          </cell>
        </row>
        <row r="2661">
          <cell r="BI2661">
            <v>14</v>
          </cell>
        </row>
        <row r="2662">
          <cell r="BI2662">
            <v>2</v>
          </cell>
        </row>
        <row r="2663">
          <cell r="BI2663">
            <v>4</v>
          </cell>
        </row>
        <row r="2664">
          <cell r="BI2664">
            <v>4</v>
          </cell>
        </row>
        <row r="2665">
          <cell r="BI2665">
            <v>3</v>
          </cell>
        </row>
        <row r="2666">
          <cell r="BI2666">
            <v>1</v>
          </cell>
        </row>
        <row r="2667">
          <cell r="BI2667">
            <v>2</v>
          </cell>
        </row>
        <row r="2668">
          <cell r="BI2668">
            <v>1</v>
          </cell>
        </row>
        <row r="2669">
          <cell r="BI2669">
            <v>53</v>
          </cell>
        </row>
        <row r="2670">
          <cell r="BI2670">
            <v>48</v>
          </cell>
        </row>
        <row r="2671">
          <cell r="BI2671">
            <v>34</v>
          </cell>
        </row>
        <row r="2672">
          <cell r="BI2672">
            <v>92</v>
          </cell>
        </row>
        <row r="2673">
          <cell r="BI2673">
            <v>34</v>
          </cell>
        </row>
        <row r="2674">
          <cell r="BI2674">
            <v>16</v>
          </cell>
        </row>
        <row r="2675">
          <cell r="BI2675">
            <v>5</v>
          </cell>
        </row>
        <row r="2676">
          <cell r="BI2676">
            <v>22</v>
          </cell>
        </row>
        <row r="2677">
          <cell r="BI2677">
            <v>4</v>
          </cell>
        </row>
        <row r="2678">
          <cell r="BI2678">
            <v>30</v>
          </cell>
        </row>
        <row r="2679">
          <cell r="BI2679">
            <v>35</v>
          </cell>
        </row>
        <row r="2680">
          <cell r="BI2680">
            <v>159</v>
          </cell>
        </row>
        <row r="2681">
          <cell r="BI2681">
            <v>2</v>
          </cell>
        </row>
        <row r="2682">
          <cell r="BI2682">
            <v>20</v>
          </cell>
        </row>
        <row r="2683">
          <cell r="BI2683">
            <v>5</v>
          </cell>
        </row>
        <row r="2684">
          <cell r="BI2684">
            <v>1</v>
          </cell>
        </row>
        <row r="2685">
          <cell r="BI2685">
            <v>9</v>
          </cell>
        </row>
        <row r="2686">
          <cell r="BI2686">
            <v>3</v>
          </cell>
        </row>
        <row r="2687">
          <cell r="BI2687">
            <v>46</v>
          </cell>
        </row>
        <row r="2688">
          <cell r="BI2688">
            <v>8</v>
          </cell>
        </row>
        <row r="2689">
          <cell r="BI2689">
            <v>76</v>
          </cell>
        </row>
        <row r="2690">
          <cell r="BI2690">
            <v>54</v>
          </cell>
        </row>
        <row r="2691">
          <cell r="BI2691">
            <v>187</v>
          </cell>
        </row>
        <row r="2692">
          <cell r="BI2692">
            <v>8</v>
          </cell>
        </row>
        <row r="2693">
          <cell r="BI2693">
            <v>16</v>
          </cell>
        </row>
        <row r="2694">
          <cell r="BI2694">
            <v>6</v>
          </cell>
        </row>
        <row r="2695">
          <cell r="BI2695">
            <v>25</v>
          </cell>
        </row>
        <row r="2696">
          <cell r="BI2696">
            <v>2</v>
          </cell>
        </row>
        <row r="2697">
          <cell r="BI2697">
            <v>22</v>
          </cell>
        </row>
        <row r="2698">
          <cell r="BI2698">
            <v>9</v>
          </cell>
        </row>
        <row r="2699">
          <cell r="BI2699">
            <v>2</v>
          </cell>
        </row>
        <row r="2700">
          <cell r="BI2700">
            <v>2</v>
          </cell>
        </row>
        <row r="2701">
          <cell r="BI2701">
            <v>466</v>
          </cell>
        </row>
        <row r="2702">
          <cell r="BI2702">
            <v>3</v>
          </cell>
        </row>
        <row r="2703">
          <cell r="BI2703">
            <v>41</v>
          </cell>
        </row>
        <row r="2704">
          <cell r="BI2704">
            <v>96</v>
          </cell>
        </row>
        <row r="2705">
          <cell r="BI2705">
            <v>37</v>
          </cell>
        </row>
        <row r="2706">
          <cell r="BI2706">
            <v>15</v>
          </cell>
        </row>
        <row r="2707">
          <cell r="BI2707">
            <v>188</v>
          </cell>
        </row>
        <row r="2708">
          <cell r="BI2708">
            <v>133</v>
          </cell>
        </row>
        <row r="2709">
          <cell r="BI2709">
            <v>2</v>
          </cell>
        </row>
        <row r="2710">
          <cell r="BI2710">
            <v>9</v>
          </cell>
        </row>
        <row r="2711">
          <cell r="BI2711">
            <v>197</v>
          </cell>
        </row>
        <row r="2712">
          <cell r="BI2712">
            <v>7</v>
          </cell>
        </row>
        <row r="2713">
          <cell r="BI2713">
            <v>452</v>
          </cell>
        </row>
        <row r="2714">
          <cell r="BI2714">
            <v>1</v>
          </cell>
        </row>
        <row r="2715">
          <cell r="BI2715">
            <v>3</v>
          </cell>
        </row>
        <row r="2716">
          <cell r="BI2716">
            <v>1</v>
          </cell>
        </row>
        <row r="2717">
          <cell r="BI2717">
            <v>5</v>
          </cell>
        </row>
        <row r="2718">
          <cell r="BI2718">
            <v>4</v>
          </cell>
        </row>
        <row r="2719">
          <cell r="BI2719">
            <v>2</v>
          </cell>
        </row>
        <row r="2720">
          <cell r="BI2720">
            <v>23</v>
          </cell>
        </row>
        <row r="2721">
          <cell r="BI2721">
            <v>1</v>
          </cell>
        </row>
        <row r="2722">
          <cell r="BI2722">
            <v>11.5</v>
          </cell>
        </row>
        <row r="2723">
          <cell r="BI2723">
            <v>1</v>
          </cell>
        </row>
        <row r="2724">
          <cell r="BI2724">
            <v>1</v>
          </cell>
        </row>
        <row r="2725">
          <cell r="BI2725">
            <v>30</v>
          </cell>
        </row>
        <row r="2726">
          <cell r="BI2726">
            <v>18</v>
          </cell>
        </row>
        <row r="2727">
          <cell r="BI2727">
            <v>30</v>
          </cell>
        </row>
        <row r="2728">
          <cell r="BI2728">
            <v>1</v>
          </cell>
        </row>
        <row r="2729">
          <cell r="BI2729">
            <v>1</v>
          </cell>
        </row>
        <row r="2730">
          <cell r="BI2730">
            <v>11</v>
          </cell>
        </row>
        <row r="2731">
          <cell r="BI2731">
            <v>16</v>
          </cell>
        </row>
        <row r="2732">
          <cell r="BI2732">
            <v>1</v>
          </cell>
        </row>
        <row r="2733">
          <cell r="BI2733">
            <v>1</v>
          </cell>
        </row>
        <row r="2734">
          <cell r="BI2734">
            <v>3</v>
          </cell>
        </row>
        <row r="2735">
          <cell r="BI2735">
            <v>15</v>
          </cell>
        </row>
        <row r="2736">
          <cell r="BI2736">
            <v>15</v>
          </cell>
        </row>
        <row r="2737">
          <cell r="BI2737">
            <v>3</v>
          </cell>
        </row>
        <row r="2738">
          <cell r="BI2738">
            <v>15</v>
          </cell>
        </row>
        <row r="2739">
          <cell r="BI2739">
            <v>3</v>
          </cell>
        </row>
        <row r="2740">
          <cell r="BI2740">
            <v>44</v>
          </cell>
        </row>
        <row r="2741">
          <cell r="BI2741">
            <v>27</v>
          </cell>
        </row>
        <row r="2742">
          <cell r="BI2742">
            <v>65</v>
          </cell>
        </row>
        <row r="2743">
          <cell r="BI2743">
            <v>6</v>
          </cell>
        </row>
        <row r="2744">
          <cell r="BI2744">
            <v>10</v>
          </cell>
        </row>
        <row r="2745">
          <cell r="BI2745">
            <v>3</v>
          </cell>
        </row>
        <row r="2746">
          <cell r="BI2746">
            <v>51</v>
          </cell>
        </row>
        <row r="2747">
          <cell r="BI2747">
            <v>5</v>
          </cell>
        </row>
        <row r="2748">
          <cell r="BI2748">
            <v>93</v>
          </cell>
        </row>
        <row r="2749">
          <cell r="BI2749">
            <v>276</v>
          </cell>
        </row>
        <row r="2750">
          <cell r="BI2750">
            <v>17</v>
          </cell>
        </row>
        <row r="2751">
          <cell r="BI2751">
            <v>235</v>
          </cell>
        </row>
        <row r="2752">
          <cell r="BI2752">
            <v>56</v>
          </cell>
        </row>
        <row r="2753">
          <cell r="BI2753">
            <v>28</v>
          </cell>
        </row>
        <row r="2754">
          <cell r="BI2754">
            <v>1</v>
          </cell>
        </row>
        <row r="2755">
          <cell r="BI2755">
            <v>2</v>
          </cell>
        </row>
        <row r="2756">
          <cell r="BI2756">
            <v>1</v>
          </cell>
        </row>
        <row r="2757">
          <cell r="BI2757">
            <v>2</v>
          </cell>
        </row>
        <row r="2758">
          <cell r="BI2758">
            <v>6</v>
          </cell>
        </row>
        <row r="2759">
          <cell r="BI2759">
            <v>1</v>
          </cell>
        </row>
        <row r="2760">
          <cell r="BI2760">
            <v>3</v>
          </cell>
        </row>
        <row r="2761">
          <cell r="BI2761">
            <v>2</v>
          </cell>
        </row>
        <row r="2762">
          <cell r="BI2762">
            <v>15</v>
          </cell>
        </row>
        <row r="2763">
          <cell r="BI2763">
            <v>1</v>
          </cell>
        </row>
        <row r="2764">
          <cell r="BI2764">
            <v>2</v>
          </cell>
        </row>
        <row r="2765">
          <cell r="BI2765">
            <v>1</v>
          </cell>
        </row>
        <row r="2766">
          <cell r="BI2766">
            <v>1</v>
          </cell>
        </row>
        <row r="2767">
          <cell r="BI2767">
            <v>7</v>
          </cell>
        </row>
        <row r="2768">
          <cell r="BI2768">
            <v>17</v>
          </cell>
        </row>
        <row r="2769">
          <cell r="BI2769">
            <v>11</v>
          </cell>
        </row>
        <row r="2770">
          <cell r="BI2770">
            <v>12</v>
          </cell>
        </row>
        <row r="2771">
          <cell r="BI2771">
            <v>18</v>
          </cell>
        </row>
        <row r="2772">
          <cell r="BI2772">
            <v>131</v>
          </cell>
        </row>
        <row r="2773">
          <cell r="BI2773">
            <v>9</v>
          </cell>
        </row>
        <row r="2774">
          <cell r="BI2774">
            <v>9</v>
          </cell>
        </row>
        <row r="2775">
          <cell r="BI2775">
            <v>59</v>
          </cell>
        </row>
        <row r="2776">
          <cell r="BI2776">
            <v>6</v>
          </cell>
        </row>
        <row r="2777">
          <cell r="BI2777">
            <v>6</v>
          </cell>
        </row>
        <row r="2778">
          <cell r="BI2778">
            <v>75</v>
          </cell>
        </row>
        <row r="2779">
          <cell r="BI2779">
            <v>138</v>
          </cell>
        </row>
        <row r="2780">
          <cell r="BI2780">
            <v>111</v>
          </cell>
        </row>
        <row r="2781">
          <cell r="BI2781">
            <v>36</v>
          </cell>
        </row>
        <row r="2782">
          <cell r="BI2782">
            <v>1</v>
          </cell>
        </row>
        <row r="2783">
          <cell r="BI2783">
            <v>27</v>
          </cell>
        </row>
        <row r="2784">
          <cell r="BI2784">
            <v>74</v>
          </cell>
        </row>
        <row r="2785">
          <cell r="BI2785">
            <v>1</v>
          </cell>
        </row>
        <row r="2786">
          <cell r="BI2786">
            <v>1</v>
          </cell>
        </row>
        <row r="2787">
          <cell r="BI2787">
            <v>4</v>
          </cell>
        </row>
        <row r="2788">
          <cell r="BI2788">
            <v>16</v>
          </cell>
        </row>
        <row r="2789">
          <cell r="BI2789">
            <v>5</v>
          </cell>
        </row>
        <row r="2790">
          <cell r="BI2790">
            <v>1</v>
          </cell>
        </row>
        <row r="2791">
          <cell r="BI2791">
            <v>3</v>
          </cell>
        </row>
        <row r="2792">
          <cell r="BI2792">
            <v>1</v>
          </cell>
        </row>
        <row r="2793">
          <cell r="BI2793">
            <v>1</v>
          </cell>
        </row>
        <row r="2794">
          <cell r="BI2794">
            <v>2</v>
          </cell>
        </row>
        <row r="2795">
          <cell r="BI2795">
            <v>1</v>
          </cell>
        </row>
        <row r="2796">
          <cell r="BI2796">
            <v>1</v>
          </cell>
        </row>
        <row r="2797">
          <cell r="BI2797">
            <v>5</v>
          </cell>
        </row>
        <row r="2798">
          <cell r="BI2798">
            <v>6</v>
          </cell>
        </row>
        <row r="2799">
          <cell r="BI2799">
            <v>2</v>
          </cell>
        </row>
        <row r="2800">
          <cell r="BI2800">
            <v>12</v>
          </cell>
        </row>
        <row r="2801">
          <cell r="BI2801">
            <v>2</v>
          </cell>
        </row>
        <row r="2802">
          <cell r="BI2802">
            <v>1</v>
          </cell>
        </row>
        <row r="2803">
          <cell r="BI2803">
            <v>1</v>
          </cell>
        </row>
        <row r="2804">
          <cell r="BI2804">
            <v>1</v>
          </cell>
        </row>
        <row r="2805">
          <cell r="BI2805">
            <v>17</v>
          </cell>
        </row>
        <row r="2806">
          <cell r="BI2806">
            <v>1</v>
          </cell>
        </row>
        <row r="2807">
          <cell r="BI2807">
            <v>9</v>
          </cell>
        </row>
        <row r="2808">
          <cell r="BI2808">
            <v>10</v>
          </cell>
        </row>
        <row r="2809">
          <cell r="BI2809">
            <v>1</v>
          </cell>
        </row>
        <row r="2810">
          <cell r="BI2810">
            <v>1</v>
          </cell>
        </row>
        <row r="2811">
          <cell r="BI2811">
            <v>2</v>
          </cell>
        </row>
        <row r="2812">
          <cell r="BI2812">
            <v>1</v>
          </cell>
        </row>
        <row r="2813">
          <cell r="BI2813">
            <v>29</v>
          </cell>
        </row>
        <row r="2814">
          <cell r="BI2814">
            <v>16</v>
          </cell>
        </row>
        <row r="2815">
          <cell r="BI2815">
            <v>5</v>
          </cell>
        </row>
        <row r="2816">
          <cell r="BI2816">
            <v>20</v>
          </cell>
        </row>
        <row r="2817">
          <cell r="BI2817">
            <v>2</v>
          </cell>
        </row>
        <row r="2818">
          <cell r="BI2818">
            <v>6</v>
          </cell>
        </row>
        <row r="2819">
          <cell r="BI2819">
            <v>1</v>
          </cell>
        </row>
        <row r="2820">
          <cell r="BI2820">
            <v>3</v>
          </cell>
        </row>
        <row r="2821">
          <cell r="BI2821">
            <v>1.5</v>
          </cell>
        </row>
        <row r="2822">
          <cell r="BI2822">
            <v>3</v>
          </cell>
        </row>
        <row r="2823">
          <cell r="BI2823">
            <v>2</v>
          </cell>
        </row>
        <row r="2824">
          <cell r="BI2824">
            <v>11</v>
          </cell>
        </row>
        <row r="2825">
          <cell r="BI2825">
            <v>2</v>
          </cell>
        </row>
        <row r="2826">
          <cell r="BI2826">
            <v>1.5</v>
          </cell>
        </row>
        <row r="2827">
          <cell r="BI2827">
            <v>4</v>
          </cell>
        </row>
        <row r="2828">
          <cell r="BI2828">
            <v>1</v>
          </cell>
        </row>
        <row r="2829">
          <cell r="BI2829">
            <v>1</v>
          </cell>
        </row>
        <row r="2830">
          <cell r="BI2830">
            <v>1</v>
          </cell>
        </row>
        <row r="2831">
          <cell r="BI2831">
            <v>1</v>
          </cell>
        </row>
        <row r="2832">
          <cell r="BI2832">
            <v>8</v>
          </cell>
        </row>
        <row r="2833">
          <cell r="BI2833">
            <v>2</v>
          </cell>
        </row>
        <row r="2834">
          <cell r="BI2834">
            <v>39</v>
          </cell>
        </row>
        <row r="2835">
          <cell r="BI2835">
            <v>27</v>
          </cell>
        </row>
        <row r="2836">
          <cell r="BI2836">
            <v>2</v>
          </cell>
        </row>
        <row r="2837">
          <cell r="BI2837">
            <v>25</v>
          </cell>
        </row>
        <row r="2838">
          <cell r="BI2838">
            <v>1</v>
          </cell>
        </row>
        <row r="2839">
          <cell r="BI2839">
            <v>1</v>
          </cell>
        </row>
        <row r="2840">
          <cell r="BI2840">
            <v>1</v>
          </cell>
        </row>
        <row r="2841">
          <cell r="BI2841">
            <v>3</v>
          </cell>
        </row>
        <row r="2842">
          <cell r="BI2842">
            <v>1</v>
          </cell>
        </row>
        <row r="2843">
          <cell r="BI2843">
            <v>1</v>
          </cell>
        </row>
        <row r="2844">
          <cell r="BI2844">
            <v>1</v>
          </cell>
        </row>
        <row r="2845">
          <cell r="BI2845">
            <v>16</v>
          </cell>
        </row>
        <row r="2846">
          <cell r="BI2846">
            <v>3</v>
          </cell>
        </row>
        <row r="2847">
          <cell r="BI2847">
            <v>4</v>
          </cell>
        </row>
        <row r="2848">
          <cell r="BI2848">
            <v>7</v>
          </cell>
        </row>
        <row r="2849">
          <cell r="BI2849">
            <v>3</v>
          </cell>
        </row>
        <row r="2850">
          <cell r="BI2850">
            <v>1</v>
          </cell>
        </row>
        <row r="2851">
          <cell r="BI2851">
            <v>1</v>
          </cell>
        </row>
        <row r="2852">
          <cell r="BI2852">
            <v>4</v>
          </cell>
        </row>
        <row r="2853">
          <cell r="BI2853">
            <v>4</v>
          </cell>
        </row>
        <row r="2854">
          <cell r="BI2854">
            <v>1</v>
          </cell>
        </row>
        <row r="2855">
          <cell r="BI2855">
            <v>1</v>
          </cell>
        </row>
        <row r="2856">
          <cell r="BI2856">
            <v>3</v>
          </cell>
        </row>
        <row r="2857">
          <cell r="BI2857">
            <v>4</v>
          </cell>
        </row>
        <row r="2858">
          <cell r="BI2858">
            <v>1</v>
          </cell>
        </row>
        <row r="2859">
          <cell r="BI2859">
            <v>1</v>
          </cell>
        </row>
        <row r="2860">
          <cell r="BI2860">
            <v>2</v>
          </cell>
        </row>
        <row r="2861">
          <cell r="BI2861">
            <v>4</v>
          </cell>
        </row>
        <row r="2862">
          <cell r="BI2862">
            <v>4</v>
          </cell>
        </row>
        <row r="2863">
          <cell r="BI2863">
            <v>1</v>
          </cell>
        </row>
        <row r="2864">
          <cell r="BI2864">
            <v>2</v>
          </cell>
        </row>
        <row r="2865">
          <cell r="BI2865">
            <v>1</v>
          </cell>
        </row>
        <row r="2866">
          <cell r="BI2866">
            <v>1</v>
          </cell>
        </row>
        <row r="2867">
          <cell r="BI2867">
            <v>2</v>
          </cell>
        </row>
        <row r="2868">
          <cell r="BI2868">
            <v>1</v>
          </cell>
        </row>
        <row r="2869">
          <cell r="BI2869">
            <v>1</v>
          </cell>
        </row>
        <row r="2870">
          <cell r="BI2870">
            <v>1</v>
          </cell>
        </row>
        <row r="2871">
          <cell r="BI2871">
            <v>2</v>
          </cell>
        </row>
        <row r="2872">
          <cell r="BI2872">
            <v>1</v>
          </cell>
        </row>
        <row r="2873">
          <cell r="BI2873">
            <v>1</v>
          </cell>
        </row>
        <row r="2874">
          <cell r="BI2874">
            <v>1</v>
          </cell>
        </row>
        <row r="2875">
          <cell r="BI2875">
            <v>2</v>
          </cell>
        </row>
        <row r="2876">
          <cell r="BI2876">
            <v>1</v>
          </cell>
        </row>
        <row r="2877">
          <cell r="BI2877">
            <v>9</v>
          </cell>
        </row>
        <row r="2878">
          <cell r="BI2878">
            <v>1</v>
          </cell>
        </row>
        <row r="2879">
          <cell r="BI2879">
            <v>1</v>
          </cell>
        </row>
        <row r="2880">
          <cell r="BI2880">
            <v>38</v>
          </cell>
        </row>
        <row r="2881">
          <cell r="BI2881">
            <v>3</v>
          </cell>
        </row>
        <row r="2882">
          <cell r="BI2882">
            <v>7</v>
          </cell>
        </row>
        <row r="2883">
          <cell r="BI2883">
            <v>2</v>
          </cell>
        </row>
        <row r="2884">
          <cell r="BI2884">
            <v>6</v>
          </cell>
        </row>
        <row r="2885">
          <cell r="BI2885">
            <v>1</v>
          </cell>
        </row>
        <row r="2886">
          <cell r="BI2886">
            <v>35</v>
          </cell>
        </row>
        <row r="2887">
          <cell r="BI2887">
            <v>1</v>
          </cell>
        </row>
        <row r="2888">
          <cell r="BI2888">
            <v>4</v>
          </cell>
        </row>
        <row r="2889">
          <cell r="BI2889">
            <v>1</v>
          </cell>
        </row>
        <row r="2890">
          <cell r="BI2890">
            <v>1</v>
          </cell>
        </row>
        <row r="2891">
          <cell r="BI2891">
            <v>1</v>
          </cell>
        </row>
        <row r="2892">
          <cell r="BI2892">
            <v>2</v>
          </cell>
        </row>
        <row r="2893">
          <cell r="BI2893">
            <v>8</v>
          </cell>
        </row>
        <row r="2894">
          <cell r="BI2894">
            <v>4</v>
          </cell>
        </row>
        <row r="2895">
          <cell r="BI2895">
            <v>23</v>
          </cell>
        </row>
        <row r="2896">
          <cell r="BI2896">
            <v>81</v>
          </cell>
        </row>
        <row r="2897">
          <cell r="BI2897">
            <v>8.5</v>
          </cell>
        </row>
        <row r="2898">
          <cell r="BI2898">
            <v>26</v>
          </cell>
        </row>
        <row r="2899">
          <cell r="BI2899">
            <v>0.5</v>
          </cell>
        </row>
        <row r="2900">
          <cell r="BI2900">
            <v>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-RD2020_RD_2019-DZ"/>
      <sheetName val="T1-RD2020_RD_2019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-2020"/>
      <sheetName val="T7b-val-1,9,2019-2020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4e-tímy"/>
      <sheetName val="T14f-EIZ"/>
      <sheetName val="T15-štipendiá-soc"/>
      <sheetName val="T16-KKŠ"/>
      <sheetName val="T17-Klinické-Zahr_lek"/>
      <sheetName val="T18-Mot_štip"/>
      <sheetName val="T19-počty študentov"/>
      <sheetName val="T20-Publik"/>
      <sheetName val="T20a-KT-CRUČ"/>
      <sheetName val="T20b-CRUČ"/>
      <sheetName val="T21-Mobility"/>
      <sheetName val="T21a- mobility"/>
      <sheetName val="T21b-cudzinci"/>
      <sheetName val="T22-praxe"/>
      <sheetName val="T23-špecifické_potreby"/>
      <sheetName val="T24-rozv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upjs.sk/vyskum/vedeckovyskumna-cinnost/doktorandsky-portal/doktorandske-studiu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minedu.sk/uspesnost-domacich-a-zahranicnych-projektov-k-rozpisu-dotacii-na-rok-2020/" TargetMode="External"/><Relationship Id="rId1" Type="http://schemas.openxmlformats.org/officeDocument/2006/relationships/hyperlink" Target="https://www.minedu.sk/uspesnost-domacich-a-zahranicnych-projektov-k-rozpisu-dotacii-na-rok-2020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F48"/>
  <sheetViews>
    <sheetView tabSelected="1" topLeftCell="A16" zoomScale="150" zoomScaleNormal="150" workbookViewId="0">
      <selection activeCell="D31" sqref="D31"/>
    </sheetView>
  </sheetViews>
  <sheetFormatPr defaultColWidth="14.28515625" defaultRowHeight="15.75"/>
  <cols>
    <col min="1" max="4" width="14.28515625" style="23"/>
    <col min="5" max="5" width="14.28515625" style="23" customWidth="1"/>
    <col min="6" max="16384" width="14.28515625" style="23"/>
  </cols>
  <sheetData>
    <row r="18" spans="1:6">
      <c r="A18" s="388" t="str">
        <f>"Rozpis dotácie MŠVVaM SR
na Univerzite Pavla Jozefa Šafárika v Košiciach
na rok "&amp;Rok</f>
        <v>Rozpis dotácie MŠVVaM SR
na Univerzite Pavla Jozefa Šafárika v Košiciach
na rok 2024</v>
      </c>
      <c r="B18" s="388"/>
      <c r="C18" s="388"/>
      <c r="D18" s="388"/>
      <c r="E18" s="388"/>
      <c r="F18" s="388"/>
    </row>
    <row r="19" spans="1:6" ht="15.75" customHeight="1">
      <c r="A19" s="388"/>
      <c r="B19" s="388"/>
      <c r="C19" s="388"/>
      <c r="D19" s="388"/>
      <c r="E19" s="388"/>
      <c r="F19" s="388"/>
    </row>
    <row r="20" spans="1:6">
      <c r="A20" s="388"/>
      <c r="B20" s="388"/>
      <c r="C20" s="388"/>
      <c r="D20" s="388"/>
      <c r="E20" s="388"/>
      <c r="F20" s="388"/>
    </row>
    <row r="21" spans="1:6">
      <c r="C21" s="390"/>
      <c r="D21" s="390"/>
    </row>
    <row r="27" spans="1:6">
      <c r="A27" s="23" t="s">
        <v>0</v>
      </c>
      <c r="B27" s="23" t="s">
        <v>726</v>
      </c>
    </row>
    <row r="28" spans="1:6">
      <c r="A28" s="23" t="s">
        <v>1</v>
      </c>
      <c r="B28" s="23" t="s">
        <v>727</v>
      </c>
    </row>
    <row r="30" spans="1:6">
      <c r="A30" s="389">
        <f>Datum</f>
        <v>45399</v>
      </c>
      <c r="B30" s="389"/>
    </row>
    <row r="32" spans="1:6">
      <c r="A32" s="23" t="s">
        <v>709</v>
      </c>
      <c r="B32" s="359" t="s">
        <v>710</v>
      </c>
      <c r="D32" s="39"/>
      <c r="E32" s="39"/>
      <c r="F32" s="39"/>
    </row>
    <row r="33" spans="1:6">
      <c r="A33" s="39"/>
      <c r="B33" s="359" t="s">
        <v>129</v>
      </c>
      <c r="D33" s="39"/>
      <c r="E33" s="39"/>
      <c r="F33" s="39"/>
    </row>
    <row r="34" spans="1:6">
      <c r="A34" s="39"/>
      <c r="B34" s="359" t="s">
        <v>472</v>
      </c>
      <c r="D34" s="39"/>
      <c r="E34" s="39"/>
      <c r="F34" s="39"/>
    </row>
    <row r="35" spans="1:6">
      <c r="A35" s="39"/>
      <c r="B35" s="359" t="s">
        <v>711</v>
      </c>
      <c r="D35" s="39"/>
      <c r="E35" s="39"/>
      <c r="F35" s="39"/>
    </row>
    <row r="36" spans="1:6">
      <c r="A36" s="39"/>
      <c r="B36" s="39" t="s">
        <v>722</v>
      </c>
      <c r="D36" s="39"/>
      <c r="E36" s="39"/>
      <c r="F36" s="39"/>
    </row>
    <row r="37" spans="1:6">
      <c r="A37" s="88"/>
      <c r="B37" s="39"/>
      <c r="D37" s="39"/>
      <c r="E37" s="39"/>
      <c r="F37" s="39"/>
    </row>
    <row r="38" spans="1:6">
      <c r="A38" s="88"/>
      <c r="B38" s="39"/>
      <c r="D38" s="39"/>
      <c r="E38" s="39"/>
      <c r="F38" s="39"/>
    </row>
    <row r="39" spans="1:6">
      <c r="A39" s="39"/>
      <c r="B39" s="39"/>
      <c r="D39" s="39"/>
      <c r="E39" s="39"/>
      <c r="F39" s="39"/>
    </row>
    <row r="40" spans="1:6">
      <c r="A40" s="39"/>
      <c r="B40" s="39"/>
      <c r="D40" s="39"/>
      <c r="E40" s="39"/>
      <c r="F40" s="39"/>
    </row>
    <row r="41" spans="1:6">
      <c r="A41" s="39"/>
      <c r="B41" s="39"/>
      <c r="D41" s="39"/>
      <c r="E41" s="39"/>
      <c r="F41" s="39"/>
    </row>
    <row r="42" spans="1:6">
      <c r="A42" s="39"/>
      <c r="B42" s="39"/>
      <c r="D42" s="39"/>
      <c r="E42" s="39"/>
      <c r="F42" s="39"/>
    </row>
    <row r="43" spans="1:6">
      <c r="A43" s="39"/>
      <c r="B43" s="39"/>
      <c r="C43" s="39"/>
      <c r="D43" s="39"/>
      <c r="E43" s="39"/>
      <c r="F43" s="39"/>
    </row>
    <row r="44" spans="1:6">
      <c r="C44" s="39"/>
      <c r="D44" s="39"/>
      <c r="E44" s="39"/>
      <c r="F44" s="39"/>
    </row>
    <row r="45" spans="1:6">
      <c r="A45" s="39"/>
      <c r="B45" s="39"/>
      <c r="C45" s="39"/>
      <c r="D45" s="39"/>
      <c r="E45" s="39"/>
      <c r="F45" s="39"/>
    </row>
    <row r="46" spans="1:6">
      <c r="A46" s="39"/>
      <c r="B46" s="39"/>
      <c r="D46" s="39"/>
      <c r="E46" s="39"/>
      <c r="F46" s="39"/>
    </row>
    <row r="47" spans="1:6">
      <c r="D47" s="39"/>
      <c r="E47" s="39"/>
      <c r="F47" s="39"/>
    </row>
    <row r="48" spans="1:6">
      <c r="D48" s="39"/>
      <c r="E48" s="39"/>
      <c r="F48" s="39"/>
    </row>
  </sheetData>
  <mergeCells count="3">
    <mergeCell ref="A18:F20"/>
    <mergeCell ref="A30:B30"/>
    <mergeCell ref="C21:D21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0"/>
  <sheetViews>
    <sheetView zoomScale="130" zoomScaleNormal="130" workbookViewId="0">
      <selection activeCell="D3" sqref="D3"/>
    </sheetView>
  </sheetViews>
  <sheetFormatPr defaultColWidth="14.28515625" defaultRowHeight="15.75"/>
  <cols>
    <col min="1" max="16384" width="14.28515625" style="1"/>
  </cols>
  <sheetData>
    <row r="1" spans="1:5">
      <c r="A1" s="395" t="s">
        <v>293</v>
      </c>
      <c r="B1" s="395"/>
    </row>
    <row r="2" spans="1:5">
      <c r="A2" s="113" t="s">
        <v>294</v>
      </c>
      <c r="B2" s="114"/>
      <c r="C2" s="115"/>
      <c r="D2" s="160">
        <f>VstupyUPJS!B16</f>
        <v>500000</v>
      </c>
    </row>
    <row r="3" spans="1:5" ht="15.75" customHeight="1">
      <c r="A3" s="464" t="str">
        <f>"Zvýšenie o úpravu bežnej dotácie z dec. "&amp;Rok-1</f>
        <v>Zvýšenie o úpravu bežnej dotácie z dec. 2023</v>
      </c>
      <c r="B3" s="465"/>
      <c r="C3" s="466"/>
      <c r="D3" s="357">
        <f>VstupyUPJS!B22</f>
        <v>0</v>
      </c>
      <c r="E3" s="356" t="s">
        <v>706</v>
      </c>
    </row>
    <row r="4" spans="1:5">
      <c r="A4" s="445" t="s">
        <v>295</v>
      </c>
      <c r="B4" s="446"/>
      <c r="C4" s="447"/>
      <c r="D4" s="160"/>
    </row>
    <row r="5" spans="1:5">
      <c r="A5" s="445" t="s">
        <v>296</v>
      </c>
      <c r="B5" s="446"/>
      <c r="C5" s="447"/>
      <c r="D5" s="194">
        <f>VstupyUPJS!B18</f>
        <v>250000</v>
      </c>
    </row>
    <row r="6" spans="1:5">
      <c r="A6" s="445" t="s">
        <v>297</v>
      </c>
      <c r="B6" s="446"/>
      <c r="C6" s="447"/>
      <c r="D6" s="160">
        <f>VstupyUPJS!B20</f>
        <v>30000</v>
      </c>
    </row>
    <row r="7" spans="1:5">
      <c r="A7" s="445" t="s">
        <v>298</v>
      </c>
      <c r="B7" s="446"/>
      <c r="C7" s="447"/>
      <c r="D7" s="160">
        <v>0</v>
      </c>
    </row>
    <row r="8" spans="1:5">
      <c r="A8" s="445" t="s">
        <v>225</v>
      </c>
      <c r="B8" s="446"/>
      <c r="C8" s="447"/>
      <c r="D8" s="160">
        <f>D2+D3-SUM(D5:D7)</f>
        <v>220000</v>
      </c>
    </row>
    <row r="11" spans="1:5">
      <c r="A11" s="166" t="s">
        <v>141</v>
      </c>
      <c r="B11" s="166" t="s">
        <v>50</v>
      </c>
      <c r="C11" s="175" t="s">
        <v>299</v>
      </c>
    </row>
    <row r="12" spans="1:5">
      <c r="A12" s="187" t="s">
        <v>124</v>
      </c>
      <c r="B12" s="189">
        <f>'07712-mzdy'!J27</f>
        <v>0.34506137878765192</v>
      </c>
      <c r="C12" s="180">
        <f t="shared" ref="C12:C18" si="0">ROUND(B12*$D$8,0)</f>
        <v>75914</v>
      </c>
    </row>
    <row r="13" spans="1:5">
      <c r="A13" s="187" t="s">
        <v>125</v>
      </c>
      <c r="B13" s="189">
        <f>'07712-mzdy'!J28</f>
        <v>0.41399071192078485</v>
      </c>
      <c r="C13" s="180">
        <f t="shared" si="0"/>
        <v>91078</v>
      </c>
    </row>
    <row r="14" spans="1:5">
      <c r="A14" s="187" t="s">
        <v>126</v>
      </c>
      <c r="B14" s="189">
        <f>'07712-mzdy'!J29</f>
        <v>4.1632246342299346E-2</v>
      </c>
      <c r="C14" s="180">
        <f t="shared" si="0"/>
        <v>9159</v>
      </c>
    </row>
    <row r="15" spans="1:5">
      <c r="A15" s="187" t="s">
        <v>127</v>
      </c>
      <c r="B15" s="189">
        <f>'07712-mzdy'!J30</f>
        <v>1.2478908183935686E-2</v>
      </c>
      <c r="C15" s="180">
        <f t="shared" si="0"/>
        <v>2745</v>
      </c>
    </row>
    <row r="16" spans="1:5">
      <c r="A16" s="187" t="s">
        <v>128</v>
      </c>
      <c r="B16" s="189">
        <f>'07712-mzdy'!J31</f>
        <v>0.12108601720612049</v>
      </c>
      <c r="C16" s="180">
        <f t="shared" si="0"/>
        <v>26639</v>
      </c>
    </row>
    <row r="17" spans="1:3">
      <c r="A17" s="187" t="s">
        <v>664</v>
      </c>
      <c r="B17" s="189">
        <f>'07712-mzdy'!J32</f>
        <v>2.0477498489814066E-3</v>
      </c>
      <c r="C17" s="180">
        <f t="shared" si="0"/>
        <v>451</v>
      </c>
    </row>
    <row r="18" spans="1:3">
      <c r="A18" s="187" t="s">
        <v>130</v>
      </c>
      <c r="B18" s="189">
        <f>'07712-mzdy'!J33</f>
        <v>2.8617959408480127E-2</v>
      </c>
      <c r="C18" s="180">
        <f t="shared" si="0"/>
        <v>6296</v>
      </c>
    </row>
    <row r="19" spans="1:3">
      <c r="A19" s="187" t="s">
        <v>150</v>
      </c>
      <c r="B19" s="189">
        <f>SUM(B12:B18)</f>
        <v>0.9649149716982538</v>
      </c>
      <c r="C19" s="180">
        <f>SUM(C12:C18)</f>
        <v>212282</v>
      </c>
    </row>
    <row r="20" spans="1:3">
      <c r="C20" s="25"/>
    </row>
  </sheetData>
  <mergeCells count="7">
    <mergeCell ref="A8:C8"/>
    <mergeCell ref="A1:B1"/>
    <mergeCell ref="A5:C5"/>
    <mergeCell ref="A4:C4"/>
    <mergeCell ref="A6:C6"/>
    <mergeCell ref="A7:C7"/>
    <mergeCell ref="A3:C3"/>
  </mergeCells>
  <pageMargins left="0.31496062992125984" right="0.31496062992125984" top="0.74803149606299213" bottom="0.55118110236220474" header="0.31496062992125984" footer="0.31496062992125984"/>
  <pageSetup paperSize="9" orientation="landscape" r:id="rId1"/>
  <headerFooter scaleWithDoc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P38"/>
  <sheetViews>
    <sheetView zoomScale="130" zoomScaleNormal="130" workbookViewId="0">
      <selection activeCell="J20" sqref="J20"/>
    </sheetView>
  </sheetViews>
  <sheetFormatPr defaultColWidth="14.28515625" defaultRowHeight="15.75"/>
  <cols>
    <col min="1" max="10" width="17.140625" style="1" customWidth="1"/>
    <col min="11" max="16384" width="14.28515625" style="1"/>
  </cols>
  <sheetData>
    <row r="1" spans="1:16">
      <c r="A1" s="395" t="s">
        <v>300</v>
      </c>
      <c r="B1" s="395"/>
      <c r="C1" s="395"/>
      <c r="D1" s="395"/>
      <c r="E1" s="107" t="s">
        <v>697</v>
      </c>
      <c r="F1" s="108" t="s">
        <v>696</v>
      </c>
      <c r="G1" s="108"/>
      <c r="H1" s="108"/>
      <c r="I1" s="108"/>
    </row>
    <row r="2" spans="1:16">
      <c r="A2" s="423" t="s">
        <v>301</v>
      </c>
      <c r="B2" s="423"/>
      <c r="C2" s="423"/>
      <c r="D2" s="423"/>
      <c r="E2" s="195">
        <v>915.5</v>
      </c>
      <c r="F2" s="109">
        <v>1025.5</v>
      </c>
    </row>
    <row r="3" spans="1:16">
      <c r="A3" s="423" t="s">
        <v>302</v>
      </c>
      <c r="B3" s="423"/>
      <c r="C3" s="423"/>
      <c r="D3" s="423"/>
      <c r="E3" s="195">
        <v>1066</v>
      </c>
      <c r="F3" s="109">
        <v>1194</v>
      </c>
    </row>
    <row r="4" spans="1:16">
      <c r="A4" s="456"/>
      <c r="B4" s="456"/>
      <c r="C4" s="456"/>
      <c r="D4" s="456"/>
      <c r="E4" s="196"/>
      <c r="F4" s="197" t="s">
        <v>303</v>
      </c>
      <c r="G4" s="197" t="s">
        <v>304</v>
      </c>
      <c r="H4" s="304"/>
    </row>
    <row r="5" spans="1:16">
      <c r="A5" s="468" t="s">
        <v>305</v>
      </c>
      <c r="B5" s="423"/>
      <c r="C5" s="423"/>
      <c r="D5" s="423"/>
      <c r="E5" s="198">
        <f>F5*E2*G5</f>
        <v>366200</v>
      </c>
      <c r="F5" s="337">
        <v>100</v>
      </c>
      <c r="G5" s="122">
        <v>4</v>
      </c>
    </row>
    <row r="7" spans="1:16">
      <c r="A7" s="5" t="s">
        <v>306</v>
      </c>
      <c r="M7" s="467" t="s">
        <v>721</v>
      </c>
      <c r="N7" s="467"/>
      <c r="O7" s="467"/>
      <c r="P7" s="467"/>
    </row>
    <row r="8" spans="1:16" ht="78.75">
      <c r="A8" s="166"/>
      <c r="B8" s="166" t="s">
        <v>307</v>
      </c>
      <c r="C8" s="166" t="s">
        <v>308</v>
      </c>
      <c r="D8" s="166" t="s">
        <v>309</v>
      </c>
      <c r="E8" s="166" t="s">
        <v>714</v>
      </c>
      <c r="F8" s="166" t="s">
        <v>717</v>
      </c>
      <c r="G8" s="166" t="s">
        <v>718</v>
      </c>
      <c r="H8" s="166" t="s">
        <v>657</v>
      </c>
      <c r="I8" s="175" t="s">
        <v>310</v>
      </c>
      <c r="J8" s="175" t="s">
        <v>716</v>
      </c>
      <c r="K8" s="175" t="s">
        <v>715</v>
      </c>
      <c r="M8" s="377" t="s">
        <v>310</v>
      </c>
      <c r="N8" s="377" t="s">
        <v>716</v>
      </c>
      <c r="O8" s="377" t="s">
        <v>715</v>
      </c>
      <c r="P8" s="377" t="s">
        <v>720</v>
      </c>
    </row>
    <row r="9" spans="1:16">
      <c r="A9" s="142" t="s">
        <v>124</v>
      </c>
      <c r="B9" s="179">
        <f>'07712-TaS'!B12</f>
        <v>0.34506137878765192</v>
      </c>
      <c r="C9" s="179">
        <f>B9/(B$16-B$14-B$15)</f>
        <v>0.3693461613083372</v>
      </c>
      <c r="D9" s="122">
        <v>11</v>
      </c>
      <c r="E9" s="122">
        <f>D9*2</f>
        <v>22</v>
      </c>
      <c r="F9" s="122">
        <v>8</v>
      </c>
      <c r="G9" s="199">
        <v>2</v>
      </c>
      <c r="H9" s="199">
        <v>0</v>
      </c>
      <c r="I9" s="366">
        <f>ROUND(E9+G9+F9+H9,0)</f>
        <v>32</v>
      </c>
      <c r="J9" s="180">
        <f>(I9-G9)*E$2*G$5</f>
        <v>109860</v>
      </c>
      <c r="K9" s="180">
        <f>G9*E$2*G$5</f>
        <v>7324</v>
      </c>
      <c r="M9" s="377">
        <v>32</v>
      </c>
      <c r="N9" s="378">
        <f>(E9+F9)*$F$2*$G$5</f>
        <v>123060</v>
      </c>
      <c r="O9" s="378">
        <f>G9*$F$2*$G$5</f>
        <v>8204</v>
      </c>
      <c r="P9" s="378">
        <f>N9+O9</f>
        <v>131264</v>
      </c>
    </row>
    <row r="10" spans="1:16">
      <c r="A10" s="142" t="s">
        <v>125</v>
      </c>
      <c r="B10" s="179">
        <f>'07712-TaS'!B13</f>
        <v>0.41399071192078485</v>
      </c>
      <c r="C10" s="179">
        <f>B10/(B$16-B$14-B$15)</f>
        <v>0.4431266135968947</v>
      </c>
      <c r="D10" s="122">
        <v>18</v>
      </c>
      <c r="E10" s="122">
        <f>D10*2</f>
        <v>36</v>
      </c>
      <c r="F10" s="122">
        <v>1</v>
      </c>
      <c r="G10" s="199">
        <v>2</v>
      </c>
      <c r="H10" s="199">
        <v>0</v>
      </c>
      <c r="I10" s="366">
        <f>ROUND(E10+G10+F10+H10,0)</f>
        <v>39</v>
      </c>
      <c r="J10" s="180">
        <f t="shared" ref="J10:J13" si="0">(I10-G10)*E$2*G$5</f>
        <v>135494</v>
      </c>
      <c r="K10" s="180">
        <f t="shared" ref="K10:K13" si="1">G10*E$2*G$5</f>
        <v>7324</v>
      </c>
      <c r="M10" s="377">
        <v>39</v>
      </c>
      <c r="N10" s="378">
        <f t="shared" ref="N10:N13" si="2">(E10+F10)*$F$2*$G$5</f>
        <v>151774</v>
      </c>
      <c r="O10" s="378">
        <f t="shared" ref="O10:O13" si="3">G10*$F$2*$G$5</f>
        <v>8204</v>
      </c>
      <c r="P10" s="378">
        <f t="shared" ref="P10:P16" si="4">N10+O10</f>
        <v>159978</v>
      </c>
    </row>
    <row r="11" spans="1:16">
      <c r="A11" s="142" t="s">
        <v>126</v>
      </c>
      <c r="B11" s="179">
        <f>'07712-TaS'!B14</f>
        <v>4.1632246342299346E-2</v>
      </c>
      <c r="C11" s="179">
        <f>B11/(B$16-B$14-B$15)</f>
        <v>4.4562246946315116E-2</v>
      </c>
      <c r="D11" s="122">
        <v>5</v>
      </c>
      <c r="E11" s="122">
        <f>D11*2</f>
        <v>10</v>
      </c>
      <c r="F11" s="122">
        <v>3</v>
      </c>
      <c r="G11" s="199">
        <v>2</v>
      </c>
      <c r="H11" s="199">
        <v>0</v>
      </c>
      <c r="I11" s="366">
        <f>ROUND(E11+G11+F11+H11,0)</f>
        <v>15</v>
      </c>
      <c r="J11" s="180">
        <f t="shared" si="0"/>
        <v>47606</v>
      </c>
      <c r="K11" s="180">
        <f t="shared" si="1"/>
        <v>7324</v>
      </c>
      <c r="M11" s="377">
        <v>15</v>
      </c>
      <c r="N11" s="378">
        <f t="shared" si="2"/>
        <v>53326</v>
      </c>
      <c r="O11" s="378">
        <f t="shared" si="3"/>
        <v>8204</v>
      </c>
      <c r="P11" s="378">
        <f t="shared" si="4"/>
        <v>61530</v>
      </c>
    </row>
    <row r="12" spans="1:16">
      <c r="A12" s="142" t="s">
        <v>127</v>
      </c>
      <c r="B12" s="179">
        <f>'07712-TaS'!B15</f>
        <v>1.2478908183935686E-2</v>
      </c>
      <c r="C12" s="179">
        <f>B12/(B$16-B$14-B$15)</f>
        <v>1.3357150693738475E-2</v>
      </c>
      <c r="D12" s="122">
        <v>1</v>
      </c>
      <c r="E12" s="122">
        <f>D12*2</f>
        <v>2</v>
      </c>
      <c r="F12" s="122">
        <v>2</v>
      </c>
      <c r="G12" s="199">
        <v>2</v>
      </c>
      <c r="H12" s="199">
        <v>0</v>
      </c>
      <c r="I12" s="366">
        <f>ROUND(E12+G12+F12+H12,0)</f>
        <v>6</v>
      </c>
      <c r="J12" s="180">
        <f t="shared" si="0"/>
        <v>14648</v>
      </c>
      <c r="K12" s="180">
        <f t="shared" si="1"/>
        <v>7324</v>
      </c>
      <c r="M12" s="377">
        <v>6</v>
      </c>
      <c r="N12" s="378">
        <f t="shared" si="2"/>
        <v>16408</v>
      </c>
      <c r="O12" s="378">
        <f t="shared" si="3"/>
        <v>8204</v>
      </c>
      <c r="P12" s="378">
        <f t="shared" si="4"/>
        <v>24612</v>
      </c>
    </row>
    <row r="13" spans="1:16">
      <c r="A13" s="142" t="s">
        <v>128</v>
      </c>
      <c r="B13" s="179">
        <f>'07712-TaS'!B16</f>
        <v>0.12108601720612049</v>
      </c>
      <c r="C13" s="179">
        <f>B13/(B$16-B$14-B$15)</f>
        <v>0.1296078274547145</v>
      </c>
      <c r="D13" s="122">
        <v>7</v>
      </c>
      <c r="E13" s="122">
        <f>D13*2</f>
        <v>14</v>
      </c>
      <c r="F13" s="122">
        <v>2</v>
      </c>
      <c r="G13" s="199">
        <v>2</v>
      </c>
      <c r="H13" s="199">
        <v>0</v>
      </c>
      <c r="I13" s="366">
        <f>ROUND(E13+G13+F13+H13,0)</f>
        <v>18</v>
      </c>
      <c r="J13" s="180">
        <f t="shared" si="0"/>
        <v>58592</v>
      </c>
      <c r="K13" s="180">
        <f t="shared" si="1"/>
        <v>7324</v>
      </c>
      <c r="M13" s="377">
        <v>18</v>
      </c>
      <c r="N13" s="378">
        <f t="shared" si="2"/>
        <v>65632</v>
      </c>
      <c r="O13" s="378">
        <f t="shared" si="3"/>
        <v>8204</v>
      </c>
      <c r="P13" s="378">
        <f t="shared" si="4"/>
        <v>73836</v>
      </c>
    </row>
    <row r="14" spans="1:16">
      <c r="A14" s="142" t="s">
        <v>664</v>
      </c>
      <c r="B14" s="179">
        <f>'07712-TaS'!B17</f>
        <v>2.0477498489814066E-3</v>
      </c>
      <c r="C14" s="179"/>
      <c r="D14" s="122"/>
      <c r="E14" s="122"/>
      <c r="F14" s="122"/>
      <c r="G14" s="122"/>
      <c r="H14" s="122"/>
      <c r="I14" s="141"/>
      <c r="J14" s="180"/>
      <c r="K14" s="200"/>
      <c r="M14" s="377"/>
      <c r="N14" s="378"/>
      <c r="O14" s="378"/>
      <c r="P14" s="378">
        <f t="shared" si="4"/>
        <v>0</v>
      </c>
    </row>
    <row r="15" spans="1:16">
      <c r="A15" s="142" t="s">
        <v>130</v>
      </c>
      <c r="B15" s="179">
        <f>'07712-TaS'!B18</f>
        <v>2.8617959408480127E-2</v>
      </c>
      <c r="C15" s="179"/>
      <c r="D15" s="122"/>
      <c r="E15" s="122"/>
      <c r="F15" s="122"/>
      <c r="G15" s="199"/>
      <c r="H15" s="199"/>
      <c r="I15" s="366"/>
      <c r="J15" s="180"/>
      <c r="K15" s="200"/>
      <c r="M15" s="377"/>
      <c r="N15" s="378"/>
      <c r="O15" s="378"/>
      <c r="P15" s="378">
        <f t="shared" si="4"/>
        <v>0</v>
      </c>
    </row>
    <row r="16" spans="1:16">
      <c r="A16" s="142" t="s">
        <v>150</v>
      </c>
      <c r="B16" s="177">
        <f t="shared" ref="B16:G16" si="5">SUM(B9:B15)</f>
        <v>0.9649149716982538</v>
      </c>
      <c r="C16" s="177">
        <f t="shared" si="5"/>
        <v>1</v>
      </c>
      <c r="D16" s="142">
        <f t="shared" si="5"/>
        <v>42</v>
      </c>
      <c r="E16" s="142">
        <f t="shared" si="5"/>
        <v>84</v>
      </c>
      <c r="F16" s="142">
        <f t="shared" si="5"/>
        <v>16</v>
      </c>
      <c r="G16" s="142">
        <f t="shared" si="5"/>
        <v>10</v>
      </c>
      <c r="H16" s="142"/>
      <c r="I16" s="367">
        <f>SUM(I9:I15)</f>
        <v>110</v>
      </c>
      <c r="J16" s="180">
        <f>SUM(J9:J14)</f>
        <v>366200</v>
      </c>
      <c r="K16" s="180">
        <f>SUM(K9:K13)</f>
        <v>36620</v>
      </c>
      <c r="M16" s="377">
        <v>110</v>
      </c>
      <c r="N16" s="379">
        <f>SUM(N9:N14)</f>
        <v>410200</v>
      </c>
      <c r="O16" s="379">
        <f>SUM(O9:O14)</f>
        <v>41020</v>
      </c>
      <c r="P16" s="378">
        <f t="shared" si="4"/>
        <v>451220</v>
      </c>
    </row>
    <row r="17" spans="1:8">
      <c r="D17" s="48" t="s">
        <v>311</v>
      </c>
    </row>
    <row r="19" spans="1:8">
      <c r="A19" s="5" t="s">
        <v>312</v>
      </c>
    </row>
    <row r="20" spans="1:8" ht="51" customHeight="1">
      <c r="A20" s="166"/>
      <c r="B20" s="166" t="s">
        <v>313</v>
      </c>
      <c r="C20" s="166" t="s">
        <v>314</v>
      </c>
      <c r="D20" s="175" t="s">
        <v>315</v>
      </c>
    </row>
    <row r="21" spans="1:8">
      <c r="A21" s="142" t="s">
        <v>124</v>
      </c>
      <c r="B21" s="122">
        <v>308</v>
      </c>
      <c r="C21" s="122">
        <v>411</v>
      </c>
      <c r="D21" s="202">
        <f t="shared" ref="D21:D25" si="6">B21*E$2+C21*E$3</f>
        <v>720100</v>
      </c>
    </row>
    <row r="22" spans="1:8">
      <c r="A22" s="142" t="s">
        <v>125</v>
      </c>
      <c r="B22" s="122">
        <v>747</v>
      </c>
      <c r="C22" s="122">
        <v>817</v>
      </c>
      <c r="D22" s="202">
        <f t="shared" si="6"/>
        <v>1554800.5</v>
      </c>
    </row>
    <row r="23" spans="1:8">
      <c r="A23" s="142" t="s">
        <v>126</v>
      </c>
      <c r="B23" s="122">
        <v>163</v>
      </c>
      <c r="C23" s="122">
        <v>195</v>
      </c>
      <c r="D23" s="202">
        <f t="shared" si="6"/>
        <v>357096.5</v>
      </c>
    </row>
    <row r="24" spans="1:8">
      <c r="A24" s="142" t="s">
        <v>127</v>
      </c>
      <c r="B24" s="122">
        <v>36</v>
      </c>
      <c r="C24" s="122">
        <v>49</v>
      </c>
      <c r="D24" s="202">
        <f t="shared" si="6"/>
        <v>85192</v>
      </c>
    </row>
    <row r="25" spans="1:8">
      <c r="A25" s="142" t="s">
        <v>128</v>
      </c>
      <c r="B25" s="122">
        <v>265</v>
      </c>
      <c r="C25" s="122">
        <v>244</v>
      </c>
      <c r="D25" s="202">
        <f t="shared" si="6"/>
        <v>502711.5</v>
      </c>
    </row>
    <row r="26" spans="1:8">
      <c r="A26" s="142" t="s">
        <v>664</v>
      </c>
      <c r="B26" s="122"/>
      <c r="C26" s="122"/>
      <c r="D26" s="202"/>
    </row>
    <row r="27" spans="1:8">
      <c r="A27" s="142" t="s">
        <v>150</v>
      </c>
      <c r="B27" s="142">
        <f>SUM(B21:B26)</f>
        <v>1519</v>
      </c>
      <c r="C27" s="142">
        <f>SUM(C21:C26)</f>
        <v>1716</v>
      </c>
      <c r="D27" s="202">
        <f>SUM(D21:D26)</f>
        <v>3219900.5</v>
      </c>
    </row>
    <row r="29" spans="1:8" ht="31.5">
      <c r="A29" s="142" t="s">
        <v>624</v>
      </c>
      <c r="B29" s="123" t="s">
        <v>625</v>
      </c>
      <c r="C29" s="123" t="s">
        <v>316</v>
      </c>
      <c r="D29" s="175" t="s">
        <v>317</v>
      </c>
    </row>
    <row r="30" spans="1:8">
      <c r="A30" s="201" t="s">
        <v>318</v>
      </c>
      <c r="B30" s="203">
        <f>$B21*B$36+$C21*B$37</f>
        <v>86488</v>
      </c>
      <c r="C30" s="203">
        <f>I9*4*C$36</f>
        <v>14080</v>
      </c>
      <c r="D30" s="202">
        <f>SUM(B30:C30)</f>
        <v>100568</v>
      </c>
      <c r="F30" s="25"/>
      <c r="G30" s="25"/>
      <c r="H30" s="25"/>
    </row>
    <row r="31" spans="1:8">
      <c r="A31" s="201" t="s">
        <v>319</v>
      </c>
      <c r="B31" s="203">
        <f>$B22*B$36+$C22*B$37</f>
        <v>186746</v>
      </c>
      <c r="C31" s="203">
        <f>I10*4*C$36</f>
        <v>17160</v>
      </c>
      <c r="D31" s="202">
        <f t="shared" ref="D31:D34" si="7">SUM(B31:C31)</f>
        <v>203906</v>
      </c>
      <c r="F31" s="25"/>
      <c r="G31" s="25"/>
      <c r="H31" s="25"/>
    </row>
    <row r="32" spans="1:8">
      <c r="A32" s="201" t="s">
        <v>320</v>
      </c>
      <c r="B32" s="203">
        <f>$B23*B$36+$C23*B$37</f>
        <v>42890</v>
      </c>
      <c r="C32" s="203">
        <f>I11*4*C$36</f>
        <v>6600</v>
      </c>
      <c r="D32" s="202">
        <f t="shared" si="7"/>
        <v>49490</v>
      </c>
      <c r="F32" s="25"/>
      <c r="G32" s="25"/>
      <c r="H32" s="25"/>
    </row>
    <row r="33" spans="1:8">
      <c r="A33" s="201" t="s">
        <v>321</v>
      </c>
      <c r="B33" s="203">
        <f>$B24*B$36+$C24*B$37</f>
        <v>10232</v>
      </c>
      <c r="C33" s="203">
        <f>I12*4*C$36</f>
        <v>2640</v>
      </c>
      <c r="D33" s="202">
        <f t="shared" si="7"/>
        <v>12872</v>
      </c>
      <c r="F33" s="25"/>
      <c r="G33" s="25"/>
      <c r="H33" s="25"/>
    </row>
    <row r="34" spans="1:8">
      <c r="A34" s="201" t="s">
        <v>322</v>
      </c>
      <c r="B34" s="203">
        <f>$B25*B$36+$C25*B$37</f>
        <v>60382</v>
      </c>
      <c r="C34" s="203">
        <f>I13*4*C$36</f>
        <v>7920</v>
      </c>
      <c r="D34" s="202">
        <f t="shared" si="7"/>
        <v>68302</v>
      </c>
      <c r="F34" s="25"/>
      <c r="G34" s="25"/>
      <c r="H34" s="25"/>
    </row>
    <row r="35" spans="1:8">
      <c r="A35" s="142" t="s">
        <v>150</v>
      </c>
      <c r="B35" s="204">
        <f t="shared" ref="B35:C35" si="8">SUM(B29:B34)</f>
        <v>386738</v>
      </c>
      <c r="C35" s="204">
        <f t="shared" si="8"/>
        <v>48400</v>
      </c>
      <c r="D35" s="202">
        <f>SUM(D30:D34)</f>
        <v>435138</v>
      </c>
    </row>
    <row r="36" spans="1:8">
      <c r="A36" s="1" t="s">
        <v>323</v>
      </c>
      <c r="B36" s="25">
        <f>F2-E2</f>
        <v>110</v>
      </c>
      <c r="C36" s="25">
        <f>F2-E2</f>
        <v>110</v>
      </c>
    </row>
    <row r="37" spans="1:8">
      <c r="A37" s="1" t="s">
        <v>324</v>
      </c>
      <c r="B37" s="25">
        <f>F3-E3</f>
        <v>128</v>
      </c>
      <c r="C37" s="25"/>
    </row>
    <row r="38" spans="1:8">
      <c r="B38" s="25"/>
      <c r="C38" s="25"/>
    </row>
  </sheetData>
  <mergeCells count="6">
    <mergeCell ref="M7:P7"/>
    <mergeCell ref="A5:D5"/>
    <mergeCell ref="A1:D1"/>
    <mergeCell ref="A2:D2"/>
    <mergeCell ref="A3:D3"/>
    <mergeCell ref="A4:D4"/>
  </mergeCells>
  <hyperlinks>
    <hyperlink ref="D17" r:id="rId1" xr:uid="{00000000-0004-0000-0A00-000000000000}"/>
  </hyperlinks>
  <pageMargins left="0.31496062992125984" right="0.31496062992125984" top="0.74803149606299213" bottom="0.55118110236220474" header="0.31496062992125984" footer="0.31496062992125984"/>
  <pageSetup paperSize="9" scale="78" orientation="landscape" r:id="rId2"/>
  <headerFooter scaleWithDoc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59"/>
  <sheetViews>
    <sheetView zoomScale="130" zoomScaleNormal="130" workbookViewId="0">
      <selection activeCell="G22" sqref="G22"/>
    </sheetView>
  </sheetViews>
  <sheetFormatPr defaultColWidth="14.28515625" defaultRowHeight="15.75"/>
  <cols>
    <col min="1" max="7" width="14.28515625" style="4"/>
    <col min="8" max="8" width="14.28515625" style="4" customWidth="1"/>
    <col min="9" max="9" width="31.28515625" style="4" bestFit="1" customWidth="1"/>
    <col min="10" max="16384" width="14.28515625" style="4"/>
  </cols>
  <sheetData>
    <row r="1" spans="1:11">
      <c r="A1" s="395" t="s">
        <v>325</v>
      </c>
      <c r="B1" s="395"/>
      <c r="C1" s="395"/>
      <c r="D1" s="395"/>
      <c r="E1" s="5"/>
      <c r="H1" s="469" t="s">
        <v>668</v>
      </c>
      <c r="I1" s="469"/>
      <c r="J1" s="469"/>
      <c r="K1" s="469"/>
    </row>
    <row r="2" spans="1:11">
      <c r="A2" s="423" t="s">
        <v>326</v>
      </c>
      <c r="B2" s="423"/>
      <c r="C2" s="423"/>
      <c r="D2" s="423"/>
      <c r="E2" s="160"/>
      <c r="F2" s="128"/>
      <c r="H2" s="469"/>
      <c r="I2" s="469"/>
      <c r="J2" s="469"/>
      <c r="K2" s="469"/>
    </row>
    <row r="3" spans="1:11">
      <c r="A3" s="423" t="s">
        <v>328</v>
      </c>
      <c r="B3" s="423"/>
      <c r="C3" s="423"/>
      <c r="D3" s="423"/>
      <c r="E3" s="160">
        <f>VstupySR!B27</f>
        <v>331400</v>
      </c>
      <c r="F3" s="185"/>
      <c r="H3" s="4" t="s">
        <v>329</v>
      </c>
      <c r="I3" s="4" t="s">
        <v>330</v>
      </c>
      <c r="J3" s="70" t="s">
        <v>331</v>
      </c>
      <c r="K3" s="70" t="s">
        <v>332</v>
      </c>
    </row>
    <row r="4" spans="1:11">
      <c r="A4" s="425" t="s">
        <v>333</v>
      </c>
      <c r="B4" s="425"/>
      <c r="C4" s="425"/>
      <c r="D4" s="425"/>
      <c r="E4" s="180">
        <f>ROUND(E3*F4,0)</f>
        <v>49710</v>
      </c>
      <c r="F4" s="205">
        <f>VstupyUPJS!B33</f>
        <v>0.15</v>
      </c>
      <c r="H4" s="99" t="s">
        <v>125</v>
      </c>
      <c r="I4" s="100" t="s">
        <v>334</v>
      </c>
      <c r="J4" s="100">
        <v>1</v>
      </c>
      <c r="K4" s="99">
        <v>25</v>
      </c>
    </row>
    <row r="5" spans="1:11">
      <c r="A5" s="423" t="s">
        <v>335</v>
      </c>
      <c r="B5" s="423"/>
      <c r="C5" s="423"/>
      <c r="D5" s="423"/>
      <c r="E5" s="160">
        <f>E3-E4</f>
        <v>281690</v>
      </c>
      <c r="F5" s="128"/>
      <c r="H5" s="99" t="s">
        <v>125</v>
      </c>
      <c r="I5" s="100" t="s">
        <v>338</v>
      </c>
      <c r="J5" s="100">
        <v>1</v>
      </c>
      <c r="K5" s="99">
        <v>23</v>
      </c>
    </row>
    <row r="6" spans="1:11">
      <c r="A6" s="423" t="s">
        <v>337</v>
      </c>
      <c r="B6" s="423"/>
      <c r="C6" s="423"/>
      <c r="D6" s="423"/>
      <c r="E6" s="160">
        <f>VstupySR!B26</f>
        <v>145350</v>
      </c>
      <c r="F6" s="128"/>
      <c r="H6" s="99" t="s">
        <v>125</v>
      </c>
      <c r="I6" s="100" t="s">
        <v>336</v>
      </c>
      <c r="J6" s="100">
        <v>1</v>
      </c>
      <c r="K6" s="99">
        <v>74</v>
      </c>
    </row>
    <row r="7" spans="1:11">
      <c r="H7" s="99" t="s">
        <v>125</v>
      </c>
      <c r="I7" s="100" t="s">
        <v>345</v>
      </c>
      <c r="J7" s="100">
        <v>1</v>
      </c>
      <c r="K7" s="99">
        <v>9</v>
      </c>
    </row>
    <row r="8" spans="1:11">
      <c r="A8" s="399" t="s">
        <v>340</v>
      </c>
      <c r="B8" s="399"/>
      <c r="C8" s="399"/>
      <c r="H8" s="99" t="s">
        <v>125</v>
      </c>
      <c r="I8" s="100" t="s">
        <v>344</v>
      </c>
      <c r="J8" s="100">
        <v>1</v>
      </c>
      <c r="K8" s="99">
        <v>34</v>
      </c>
    </row>
    <row r="9" spans="1:11">
      <c r="A9" s="472"/>
      <c r="B9" s="473" t="s">
        <v>342</v>
      </c>
      <c r="C9" s="474" t="s">
        <v>326</v>
      </c>
      <c r="D9" s="473" t="s">
        <v>343</v>
      </c>
      <c r="E9" s="474" t="s">
        <v>337</v>
      </c>
      <c r="H9" s="99" t="s">
        <v>125</v>
      </c>
      <c r="I9" s="100" t="s">
        <v>339</v>
      </c>
      <c r="J9" s="100">
        <v>1</v>
      </c>
      <c r="K9" s="99">
        <v>67</v>
      </c>
    </row>
    <row r="10" spans="1:11" ht="15.75" customHeight="1">
      <c r="A10" s="472"/>
      <c r="B10" s="473"/>
      <c r="C10" s="474"/>
      <c r="D10" s="473"/>
      <c r="E10" s="474"/>
      <c r="H10" s="99" t="s">
        <v>125</v>
      </c>
      <c r="I10" s="100" t="s">
        <v>341</v>
      </c>
      <c r="J10" s="100">
        <v>1</v>
      </c>
      <c r="K10" s="99">
        <v>41</v>
      </c>
    </row>
    <row r="11" spans="1:11">
      <c r="A11" s="472"/>
      <c r="B11" s="473"/>
      <c r="C11" s="474"/>
      <c r="D11" s="473"/>
      <c r="E11" s="474"/>
      <c r="H11" s="99" t="s">
        <v>125</v>
      </c>
      <c r="I11" s="100" t="s">
        <v>346</v>
      </c>
      <c r="J11" s="100">
        <v>1</v>
      </c>
      <c r="K11" s="99">
        <v>8</v>
      </c>
    </row>
    <row r="12" spans="1:11" s="12" customFormat="1">
      <c r="A12" s="472"/>
      <c r="B12" s="473"/>
      <c r="C12" s="474"/>
      <c r="D12" s="473"/>
      <c r="E12" s="474"/>
      <c r="H12" s="99" t="s">
        <v>125</v>
      </c>
      <c r="I12" s="100" t="s">
        <v>347</v>
      </c>
      <c r="J12" s="100">
        <v>1</v>
      </c>
      <c r="K12" s="99">
        <v>8</v>
      </c>
    </row>
    <row r="13" spans="1:11">
      <c r="A13" s="142" t="s">
        <v>124</v>
      </c>
      <c r="B13" s="122">
        <v>3146</v>
      </c>
      <c r="C13" s="180">
        <f t="shared" ref="C13:C18" si="0">ROUND(B13/B$19*$E$5,0)</f>
        <v>133705</v>
      </c>
      <c r="D13" s="122">
        <v>77</v>
      </c>
      <c r="E13" s="180">
        <f t="shared" ref="E13:E18" si="1">ROUND(D13/D$19*$E$6,0)</f>
        <v>13860</v>
      </c>
      <c r="F13" s="54"/>
      <c r="H13" s="101" t="s">
        <v>125</v>
      </c>
      <c r="I13" s="102" t="s">
        <v>348</v>
      </c>
      <c r="J13" s="102">
        <v>1</v>
      </c>
      <c r="K13" s="101">
        <v>17</v>
      </c>
    </row>
    <row r="14" spans="1:11">
      <c r="A14" s="142" t="s">
        <v>125</v>
      </c>
      <c r="B14" s="122">
        <v>790</v>
      </c>
      <c r="C14" s="180">
        <f t="shared" si="0"/>
        <v>33575</v>
      </c>
      <c r="D14" s="266">
        <v>656.5</v>
      </c>
      <c r="E14" s="180">
        <f t="shared" si="1"/>
        <v>118170</v>
      </c>
      <c r="F14" s="26"/>
      <c r="H14" s="101" t="s">
        <v>125</v>
      </c>
      <c r="I14" s="102" t="s">
        <v>349</v>
      </c>
      <c r="J14" s="102">
        <v>1</v>
      </c>
      <c r="K14" s="101">
        <v>77</v>
      </c>
    </row>
    <row r="15" spans="1:11">
      <c r="A15" s="142" t="s">
        <v>126</v>
      </c>
      <c r="B15" s="122">
        <v>706</v>
      </c>
      <c r="C15" s="180">
        <f t="shared" si="0"/>
        <v>30005</v>
      </c>
      <c r="D15" s="122">
        <v>0</v>
      </c>
      <c r="E15" s="180">
        <f t="shared" si="1"/>
        <v>0</v>
      </c>
      <c r="F15" s="26"/>
      <c r="H15" s="101" t="s">
        <v>125</v>
      </c>
      <c r="I15" s="102" t="s">
        <v>350</v>
      </c>
      <c r="J15" s="102">
        <v>1</v>
      </c>
      <c r="K15" s="101">
        <v>21</v>
      </c>
    </row>
    <row r="16" spans="1:11">
      <c r="A16" s="142" t="s">
        <v>127</v>
      </c>
      <c r="B16" s="122">
        <v>588</v>
      </c>
      <c r="C16" s="180">
        <f t="shared" si="0"/>
        <v>24990</v>
      </c>
      <c r="D16" s="122">
        <v>0</v>
      </c>
      <c r="E16" s="180">
        <f t="shared" si="1"/>
        <v>0</v>
      </c>
      <c r="H16" s="101" t="s">
        <v>125</v>
      </c>
      <c r="I16" s="102" t="s">
        <v>352</v>
      </c>
      <c r="J16" s="102">
        <v>1</v>
      </c>
      <c r="K16" s="101">
        <v>2</v>
      </c>
    </row>
    <row r="17" spans="1:11">
      <c r="A17" s="142" t="s">
        <v>128</v>
      </c>
      <c r="B17" s="122">
        <v>1328</v>
      </c>
      <c r="C17" s="180">
        <f t="shared" si="0"/>
        <v>56440</v>
      </c>
      <c r="D17" s="122">
        <v>74</v>
      </c>
      <c r="E17" s="180">
        <f t="shared" si="1"/>
        <v>13320</v>
      </c>
      <c r="H17" s="101" t="s">
        <v>125</v>
      </c>
      <c r="I17" s="102" t="s">
        <v>358</v>
      </c>
      <c r="J17" s="102">
        <v>1</v>
      </c>
      <c r="K17" s="101">
        <v>22</v>
      </c>
    </row>
    <row r="18" spans="1:11">
      <c r="A18" s="142" t="s">
        <v>664</v>
      </c>
      <c r="B18" s="122">
        <v>70</v>
      </c>
      <c r="C18" s="180">
        <f t="shared" si="0"/>
        <v>2975</v>
      </c>
      <c r="D18" s="122">
        <v>0</v>
      </c>
      <c r="E18" s="180">
        <f t="shared" si="1"/>
        <v>0</v>
      </c>
      <c r="H18" s="101" t="s">
        <v>125</v>
      </c>
      <c r="I18" s="102" t="s">
        <v>362</v>
      </c>
      <c r="J18" s="102">
        <v>1</v>
      </c>
      <c r="K18" s="101">
        <v>6</v>
      </c>
    </row>
    <row r="19" spans="1:11">
      <c r="A19" s="142" t="s">
        <v>150</v>
      </c>
      <c r="B19" s="142">
        <f>SUM(B13:B18)</f>
        <v>6628</v>
      </c>
      <c r="C19" s="180">
        <f>SUM(C13:C18)</f>
        <v>281690</v>
      </c>
      <c r="D19" s="142">
        <f>SUM(D13:D18)</f>
        <v>807.5</v>
      </c>
      <c r="E19" s="180">
        <f>SUM(E13:E18)</f>
        <v>145350</v>
      </c>
      <c r="H19" s="101" t="s">
        <v>125</v>
      </c>
      <c r="I19" s="102" t="s">
        <v>370</v>
      </c>
      <c r="J19" s="102">
        <v>1</v>
      </c>
      <c r="K19" s="101">
        <v>3</v>
      </c>
    </row>
    <row r="20" spans="1:11">
      <c r="A20" s="34" t="s">
        <v>701</v>
      </c>
      <c r="B20" s="46">
        <v>6628</v>
      </c>
      <c r="D20" s="53">
        <v>807.5</v>
      </c>
      <c r="H20" s="101" t="s">
        <v>125</v>
      </c>
      <c r="I20" s="102" t="s">
        <v>372</v>
      </c>
      <c r="J20" s="102">
        <v>1</v>
      </c>
      <c r="K20" s="101">
        <v>25</v>
      </c>
    </row>
    <row r="21" spans="1:11">
      <c r="B21" s="4" t="s">
        <v>355</v>
      </c>
      <c r="D21" s="4" t="s">
        <v>356</v>
      </c>
      <c r="H21" s="101" t="s">
        <v>125</v>
      </c>
      <c r="I21" s="102" t="s">
        <v>353</v>
      </c>
      <c r="J21" s="102">
        <v>1</v>
      </c>
      <c r="K21" s="101">
        <v>5</v>
      </c>
    </row>
    <row r="22" spans="1:11">
      <c r="H22" s="101" t="s">
        <v>125</v>
      </c>
      <c r="I22" s="102" t="s">
        <v>351</v>
      </c>
      <c r="J22" s="102">
        <v>1</v>
      </c>
      <c r="K22" s="101">
        <v>20</v>
      </c>
    </row>
    <row r="23" spans="1:11">
      <c r="A23" s="471" t="s">
        <v>327</v>
      </c>
      <c r="B23" s="471"/>
      <c r="C23" s="471"/>
      <c r="D23" s="471"/>
      <c r="E23" s="471"/>
      <c r="F23" s="471"/>
      <c r="H23" s="101" t="s">
        <v>125</v>
      </c>
      <c r="I23" s="102" t="s">
        <v>354</v>
      </c>
      <c r="J23" s="102">
        <v>1</v>
      </c>
      <c r="K23" s="101">
        <v>8</v>
      </c>
    </row>
    <row r="24" spans="1:11">
      <c r="A24" s="4" t="s">
        <v>329</v>
      </c>
      <c r="B24" s="4" t="s">
        <v>330</v>
      </c>
      <c r="E24" s="70" t="s">
        <v>331</v>
      </c>
      <c r="F24" s="70" t="s">
        <v>332</v>
      </c>
      <c r="H24" s="101" t="s">
        <v>125</v>
      </c>
      <c r="I24" s="102" t="s">
        <v>366</v>
      </c>
      <c r="J24" s="102">
        <v>1</v>
      </c>
      <c r="K24" s="101">
        <v>11</v>
      </c>
    </row>
    <row r="25" spans="1:11">
      <c r="A25" s="95" t="s">
        <v>124</v>
      </c>
      <c r="B25" s="96" t="s">
        <v>361</v>
      </c>
      <c r="C25" s="95"/>
      <c r="D25" s="95"/>
      <c r="E25" s="96">
        <v>1</v>
      </c>
      <c r="F25" s="95">
        <v>77</v>
      </c>
      <c r="H25" s="101" t="s">
        <v>125</v>
      </c>
      <c r="I25" s="102" t="s">
        <v>364</v>
      </c>
      <c r="J25" s="102">
        <v>1</v>
      </c>
      <c r="K25" s="101">
        <v>3</v>
      </c>
    </row>
    <row r="26" spans="1:11">
      <c r="A26" s="97" t="s">
        <v>128</v>
      </c>
      <c r="B26" s="98" t="s">
        <v>365</v>
      </c>
      <c r="C26" s="97"/>
      <c r="D26" s="97"/>
      <c r="E26" s="98">
        <v>1</v>
      </c>
      <c r="F26" s="97">
        <v>2</v>
      </c>
      <c r="H26" s="101" t="s">
        <v>125</v>
      </c>
      <c r="I26" s="102" t="s">
        <v>360</v>
      </c>
      <c r="J26" s="102">
        <v>1</v>
      </c>
      <c r="K26" s="101">
        <v>3</v>
      </c>
    </row>
    <row r="27" spans="1:11">
      <c r="A27" s="97" t="s">
        <v>128</v>
      </c>
      <c r="B27" s="98" t="s">
        <v>369</v>
      </c>
      <c r="C27" s="97"/>
      <c r="D27" s="97"/>
      <c r="E27" s="98">
        <v>1</v>
      </c>
      <c r="F27" s="97">
        <v>18</v>
      </c>
      <c r="H27" s="101" t="s">
        <v>125</v>
      </c>
      <c r="I27" s="102" t="s">
        <v>359</v>
      </c>
      <c r="J27" s="102">
        <v>1</v>
      </c>
      <c r="K27" s="101">
        <v>2</v>
      </c>
    </row>
    <row r="28" spans="1:11">
      <c r="A28" s="97" t="s">
        <v>128</v>
      </c>
      <c r="B28" s="98" t="s">
        <v>367</v>
      </c>
      <c r="C28" s="97"/>
      <c r="D28" s="97"/>
      <c r="E28" s="98">
        <v>1</v>
      </c>
      <c r="F28" s="97">
        <v>20</v>
      </c>
      <c r="H28" s="101" t="s">
        <v>125</v>
      </c>
      <c r="I28" s="102" t="s">
        <v>357</v>
      </c>
      <c r="J28" s="102">
        <v>1</v>
      </c>
      <c r="K28" s="101">
        <v>3</v>
      </c>
    </row>
    <row r="29" spans="1:11">
      <c r="A29" s="97" t="s">
        <v>128</v>
      </c>
      <c r="B29" s="98" t="s">
        <v>375</v>
      </c>
      <c r="C29" s="97"/>
      <c r="D29" s="97"/>
      <c r="E29" s="98">
        <v>1</v>
      </c>
      <c r="F29" s="97">
        <v>4</v>
      </c>
      <c r="H29" s="101" t="s">
        <v>125</v>
      </c>
      <c r="I29" s="102" t="s">
        <v>374</v>
      </c>
      <c r="J29" s="102">
        <v>1</v>
      </c>
      <c r="K29" s="101">
        <v>6</v>
      </c>
    </row>
    <row r="30" spans="1:11">
      <c r="A30" s="97" t="s">
        <v>128</v>
      </c>
      <c r="B30" s="98" t="s">
        <v>371</v>
      </c>
      <c r="C30" s="97"/>
      <c r="D30" s="97"/>
      <c r="E30" s="98">
        <v>1</v>
      </c>
      <c r="F30" s="97">
        <v>14</v>
      </c>
      <c r="H30" s="101" t="s">
        <v>125</v>
      </c>
      <c r="I30" s="102" t="s">
        <v>368</v>
      </c>
      <c r="J30" s="102">
        <v>1</v>
      </c>
      <c r="K30" s="101">
        <v>1</v>
      </c>
    </row>
    <row r="31" spans="1:11">
      <c r="A31" s="97" t="s">
        <v>128</v>
      </c>
      <c r="B31" s="98" t="s">
        <v>373</v>
      </c>
      <c r="C31" s="97"/>
      <c r="D31" s="97"/>
      <c r="E31" s="98">
        <v>1</v>
      </c>
      <c r="F31" s="97">
        <v>7</v>
      </c>
      <c r="H31" s="99" t="s">
        <v>125</v>
      </c>
      <c r="I31" s="100" t="s">
        <v>338</v>
      </c>
      <c r="J31" s="100">
        <v>2</v>
      </c>
      <c r="K31" s="99">
        <v>9</v>
      </c>
    </row>
    <row r="32" spans="1:11">
      <c r="A32" s="97" t="s">
        <v>128</v>
      </c>
      <c r="B32" s="98" t="s">
        <v>363</v>
      </c>
      <c r="C32" s="97"/>
      <c r="D32" s="97"/>
      <c r="E32" s="98">
        <v>1</v>
      </c>
      <c r="F32" s="97">
        <v>7</v>
      </c>
      <c r="H32" s="99" t="s">
        <v>125</v>
      </c>
      <c r="I32" s="100" t="s">
        <v>377</v>
      </c>
      <c r="J32" s="100">
        <v>2</v>
      </c>
      <c r="K32" s="99">
        <v>3</v>
      </c>
    </row>
    <row r="33" spans="1:11">
      <c r="A33" s="97" t="s">
        <v>128</v>
      </c>
      <c r="B33" s="98" t="s">
        <v>376</v>
      </c>
      <c r="C33" s="97"/>
      <c r="D33" s="97"/>
      <c r="E33" s="98">
        <v>1</v>
      </c>
      <c r="F33" s="97">
        <v>1</v>
      </c>
      <c r="H33" s="99" t="s">
        <v>125</v>
      </c>
      <c r="I33" s="100" t="s">
        <v>386</v>
      </c>
      <c r="J33" s="100">
        <v>2</v>
      </c>
      <c r="K33" s="99">
        <v>31</v>
      </c>
    </row>
    <row r="34" spans="1:11">
      <c r="A34" s="97" t="s">
        <v>128</v>
      </c>
      <c r="B34" s="98" t="s">
        <v>563</v>
      </c>
      <c r="C34" s="97"/>
      <c r="D34" s="97"/>
      <c r="E34" s="98">
        <v>1</v>
      </c>
      <c r="F34" s="97">
        <v>1</v>
      </c>
      <c r="H34" s="99" t="s">
        <v>125</v>
      </c>
      <c r="I34" s="100" t="s">
        <v>391</v>
      </c>
      <c r="J34" s="100">
        <v>2</v>
      </c>
      <c r="K34" s="99">
        <v>10</v>
      </c>
    </row>
    <row r="35" spans="1:11">
      <c r="H35" s="99" t="s">
        <v>125</v>
      </c>
      <c r="I35" s="100" t="s">
        <v>380</v>
      </c>
      <c r="J35" s="100">
        <v>2</v>
      </c>
      <c r="K35" s="99">
        <v>16</v>
      </c>
    </row>
    <row r="36" spans="1:11">
      <c r="H36" s="99" t="s">
        <v>125</v>
      </c>
      <c r="I36" s="100" t="s">
        <v>378</v>
      </c>
      <c r="J36" s="100">
        <v>2</v>
      </c>
      <c r="K36" s="99">
        <v>5</v>
      </c>
    </row>
    <row r="37" spans="1:11">
      <c r="H37" s="99" t="s">
        <v>125</v>
      </c>
      <c r="I37" s="100" t="s">
        <v>345</v>
      </c>
      <c r="J37" s="100">
        <v>2</v>
      </c>
      <c r="K37" s="99">
        <v>6</v>
      </c>
    </row>
    <row r="38" spans="1:11">
      <c r="H38" s="99" t="s">
        <v>125</v>
      </c>
      <c r="I38" s="100" t="s">
        <v>372</v>
      </c>
      <c r="J38" s="100">
        <v>2</v>
      </c>
      <c r="K38" s="99">
        <v>4</v>
      </c>
    </row>
    <row r="39" spans="1:11">
      <c r="H39" s="99" t="s">
        <v>125</v>
      </c>
      <c r="I39" s="100" t="s">
        <v>346</v>
      </c>
      <c r="J39" s="100">
        <v>2</v>
      </c>
      <c r="K39" s="99">
        <v>6</v>
      </c>
    </row>
    <row r="40" spans="1:11">
      <c r="A40" s="470" t="s">
        <v>379</v>
      </c>
      <c r="B40" s="470"/>
      <c r="C40" s="470"/>
      <c r="D40" s="470"/>
      <c r="E40" s="470"/>
      <c r="F40" s="470"/>
      <c r="H40" s="99" t="s">
        <v>125</v>
      </c>
      <c r="I40" s="100" t="s">
        <v>385</v>
      </c>
      <c r="J40" s="100">
        <v>2</v>
      </c>
      <c r="K40" s="99">
        <v>6</v>
      </c>
    </row>
    <row r="41" spans="1:11">
      <c r="A41" s="71" t="s">
        <v>329</v>
      </c>
      <c r="B41" s="71" t="s">
        <v>330</v>
      </c>
      <c r="E41" s="72" t="s">
        <v>331</v>
      </c>
      <c r="F41" s="72" t="s">
        <v>381</v>
      </c>
      <c r="G41" s="72" t="s">
        <v>332</v>
      </c>
      <c r="H41" s="99" t="s">
        <v>125</v>
      </c>
      <c r="I41" s="100" t="s">
        <v>382</v>
      </c>
      <c r="J41" s="100">
        <v>2</v>
      </c>
      <c r="K41" s="99">
        <v>13</v>
      </c>
    </row>
    <row r="42" spans="1:11">
      <c r="A42" s="71" t="s">
        <v>125</v>
      </c>
      <c r="B42" s="71" t="s">
        <v>673</v>
      </c>
      <c r="C42" s="71"/>
      <c r="D42" s="71"/>
      <c r="E42" s="71">
        <v>2</v>
      </c>
      <c r="F42" s="73">
        <v>0.75</v>
      </c>
      <c r="G42" s="71">
        <v>9</v>
      </c>
      <c r="H42" s="101" t="s">
        <v>125</v>
      </c>
      <c r="I42" s="102" t="s">
        <v>388</v>
      </c>
      <c r="J42" s="102">
        <v>2</v>
      </c>
      <c r="K42" s="101">
        <v>17</v>
      </c>
    </row>
    <row r="43" spans="1:11">
      <c r="A43" s="71" t="s">
        <v>125</v>
      </c>
      <c r="B43" s="71" t="s">
        <v>334</v>
      </c>
      <c r="C43" s="71"/>
      <c r="D43" s="71"/>
      <c r="E43" s="71">
        <v>2</v>
      </c>
      <c r="F43" s="73">
        <v>0.81818181818181812</v>
      </c>
      <c r="G43" s="71">
        <v>13</v>
      </c>
      <c r="H43" s="101" t="s">
        <v>125</v>
      </c>
      <c r="I43" s="102" t="s">
        <v>390</v>
      </c>
      <c r="J43" s="102">
        <v>2</v>
      </c>
      <c r="K43" s="101">
        <v>6.5</v>
      </c>
    </row>
    <row r="44" spans="1:11">
      <c r="A44" s="71" t="s">
        <v>125</v>
      </c>
      <c r="B44" s="71" t="s">
        <v>389</v>
      </c>
      <c r="E44" s="71">
        <v>2</v>
      </c>
      <c r="F44" s="73">
        <v>0.66666666666666674</v>
      </c>
      <c r="G44" s="71">
        <v>12</v>
      </c>
    </row>
    <row r="45" spans="1:11">
      <c r="A45" s="71" t="s">
        <v>125</v>
      </c>
      <c r="B45" s="71" t="s">
        <v>564</v>
      </c>
      <c r="E45" s="71">
        <v>2</v>
      </c>
      <c r="F45" s="73">
        <v>0.86363636363636365</v>
      </c>
      <c r="G45" s="71">
        <v>8</v>
      </c>
    </row>
    <row r="46" spans="1:11">
      <c r="A46" s="71" t="s">
        <v>125</v>
      </c>
      <c r="B46" s="71" t="s">
        <v>344</v>
      </c>
      <c r="E46" s="71">
        <v>2</v>
      </c>
      <c r="F46" s="73">
        <v>0.85714285714285721</v>
      </c>
      <c r="G46" s="71">
        <v>13</v>
      </c>
    </row>
    <row r="47" spans="1:11">
      <c r="A47" s="71" t="s">
        <v>125</v>
      </c>
      <c r="B47" s="71" t="s">
        <v>383</v>
      </c>
      <c r="C47" s="71"/>
      <c r="D47" s="71"/>
      <c r="E47" s="71">
        <v>2</v>
      </c>
      <c r="F47" s="73">
        <v>0.88235294117647056</v>
      </c>
      <c r="G47" s="71">
        <v>37.5</v>
      </c>
    </row>
    <row r="48" spans="1:11">
      <c r="A48" s="71" t="s">
        <v>125</v>
      </c>
      <c r="B48" s="71" t="s">
        <v>384</v>
      </c>
      <c r="C48" s="71"/>
      <c r="D48" s="71"/>
      <c r="E48" s="71">
        <v>2</v>
      </c>
      <c r="F48" s="73">
        <v>0.64705882352941169</v>
      </c>
      <c r="G48" s="71">
        <v>18</v>
      </c>
    </row>
    <row r="49" spans="1:11">
      <c r="A49" s="71" t="s">
        <v>125</v>
      </c>
      <c r="B49" s="71" t="s">
        <v>387</v>
      </c>
      <c r="C49" s="71"/>
      <c r="D49" s="71"/>
      <c r="E49" s="71">
        <v>2</v>
      </c>
      <c r="F49" s="73">
        <v>0.8928571428571429</v>
      </c>
      <c r="G49" s="71">
        <v>20</v>
      </c>
      <c r="I49" s="55"/>
      <c r="J49" s="55"/>
    </row>
    <row r="50" spans="1:11">
      <c r="A50" s="71" t="s">
        <v>125</v>
      </c>
      <c r="B50" s="71" t="s">
        <v>392</v>
      </c>
      <c r="E50" s="71">
        <v>2</v>
      </c>
      <c r="F50" s="73">
        <v>0.81679389312977102</v>
      </c>
      <c r="G50" s="71">
        <v>3</v>
      </c>
      <c r="I50" s="55"/>
      <c r="J50" s="55"/>
    </row>
    <row r="51" spans="1:11">
      <c r="H51" s="103"/>
      <c r="I51" s="103"/>
      <c r="J51" s="103"/>
      <c r="K51" s="103"/>
    </row>
    <row r="55" spans="1:11">
      <c r="G55" s="71"/>
    </row>
    <row r="56" spans="1:11">
      <c r="G56" s="71"/>
    </row>
    <row r="57" spans="1:11">
      <c r="G57" s="71"/>
    </row>
    <row r="58" spans="1:11">
      <c r="G58" s="71"/>
    </row>
    <row r="59" spans="1:11">
      <c r="G59" s="71"/>
    </row>
  </sheetData>
  <mergeCells count="15">
    <mergeCell ref="H1:K2"/>
    <mergeCell ref="A40:F40"/>
    <mergeCell ref="A8:C8"/>
    <mergeCell ref="A5:D5"/>
    <mergeCell ref="A6:D6"/>
    <mergeCell ref="A1:D1"/>
    <mergeCell ref="A2:D2"/>
    <mergeCell ref="A3:D3"/>
    <mergeCell ref="A4:D4"/>
    <mergeCell ref="A23:F23"/>
    <mergeCell ref="A9:A12"/>
    <mergeCell ref="B9:B12"/>
    <mergeCell ref="C9:C12"/>
    <mergeCell ref="D9:D12"/>
    <mergeCell ref="E9:E12"/>
  </mergeCells>
  <conditionalFormatting sqref="B20">
    <cfRule type="cellIs" dxfId="23" priority="2" operator="between">
      <formula>B19-0.9</formula>
      <formula>B19+0.9</formula>
    </cfRule>
  </conditionalFormatting>
  <conditionalFormatting sqref="D20">
    <cfRule type="cellIs" dxfId="22" priority="1" operator="between">
      <formula>D19-0.9</formula>
      <formula>D19+0.9</formula>
    </cfRule>
  </conditionalFormatting>
  <pageMargins left="0.31496062992125984" right="0.31496062992125984" top="0.74803149606299213" bottom="0.55118110236220474" header="0.31496062992125984" footer="0.31496062992125984"/>
  <pageSetup paperSize="9" scale="65" orientation="landscape" r:id="rId1"/>
  <headerFooter scaleWithDoc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36"/>
  <sheetViews>
    <sheetView zoomScale="130" zoomScaleNormal="130" workbookViewId="0">
      <selection activeCell="A18" sqref="A18:I20"/>
    </sheetView>
  </sheetViews>
  <sheetFormatPr defaultColWidth="8.7109375" defaultRowHeight="15"/>
  <cols>
    <col min="3" max="3" width="10.7109375" bestFit="1" customWidth="1"/>
    <col min="9" max="9" width="15.28515625" bestFit="1" customWidth="1"/>
    <col min="10" max="10" width="11.7109375" customWidth="1"/>
    <col min="11" max="11" width="16.42578125" customWidth="1"/>
    <col min="12" max="12" width="37.28515625" bestFit="1" customWidth="1"/>
  </cols>
  <sheetData>
    <row r="1" spans="1:12" ht="15.75" thickBot="1">
      <c r="D1" s="476" t="s">
        <v>592</v>
      </c>
      <c r="E1" s="477"/>
      <c r="F1" s="477"/>
      <c r="G1" s="477"/>
      <c r="H1" s="478"/>
    </row>
    <row r="2" spans="1:12" ht="15.75" thickBot="1">
      <c r="D2" s="270" t="s">
        <v>593</v>
      </c>
      <c r="E2" s="271" t="s">
        <v>594</v>
      </c>
      <c r="F2" s="271" t="s">
        <v>595</v>
      </c>
      <c r="G2" s="271" t="s">
        <v>596</v>
      </c>
      <c r="H2" s="272" t="s">
        <v>597</v>
      </c>
    </row>
    <row r="3" spans="1:12" ht="15.75" thickBot="1">
      <c r="D3" s="273">
        <v>8</v>
      </c>
      <c r="E3" s="274">
        <v>5</v>
      </c>
      <c r="F3" s="274">
        <v>3</v>
      </c>
      <c r="G3" s="274">
        <v>1</v>
      </c>
      <c r="H3" s="275">
        <v>0</v>
      </c>
    </row>
    <row r="5" spans="1:12" ht="45">
      <c r="A5" s="288" t="s">
        <v>565</v>
      </c>
      <c r="B5" s="288" t="s">
        <v>141</v>
      </c>
      <c r="C5" s="289" t="s">
        <v>568</v>
      </c>
      <c r="D5" s="475" t="s">
        <v>569</v>
      </c>
      <c r="E5" s="475"/>
      <c r="F5" s="475"/>
      <c r="G5" s="475"/>
      <c r="H5" s="475"/>
      <c r="I5" s="290" t="s">
        <v>570</v>
      </c>
      <c r="J5" s="291" t="s">
        <v>598</v>
      </c>
      <c r="K5" s="288" t="s">
        <v>566</v>
      </c>
      <c r="L5" s="288" t="s">
        <v>567</v>
      </c>
    </row>
    <row r="6" spans="1:12" ht="28.5">
      <c r="A6" s="286" t="s">
        <v>571</v>
      </c>
      <c r="B6" s="286" t="s">
        <v>125</v>
      </c>
      <c r="C6" s="267">
        <v>1.6</v>
      </c>
      <c r="D6" s="268">
        <v>0</v>
      </c>
      <c r="E6" s="268">
        <v>32</v>
      </c>
      <c r="F6" s="268">
        <v>48</v>
      </c>
      <c r="G6" s="268">
        <v>16</v>
      </c>
      <c r="H6" s="268">
        <v>4</v>
      </c>
      <c r="I6" s="268">
        <v>36</v>
      </c>
      <c r="J6" s="292">
        <f>SUMPRODUCT(D6:H6,D$3:H$3)*I6*C6/100</f>
        <v>184.32</v>
      </c>
      <c r="K6" s="287" t="s">
        <v>572</v>
      </c>
      <c r="L6" s="287" t="s">
        <v>573</v>
      </c>
    </row>
    <row r="7" spans="1:12">
      <c r="A7" s="286" t="s">
        <v>571</v>
      </c>
      <c r="B7" s="286" t="s">
        <v>128</v>
      </c>
      <c r="C7" s="267">
        <v>1</v>
      </c>
      <c r="D7" s="268">
        <v>36</v>
      </c>
      <c r="E7" s="268">
        <v>52</v>
      </c>
      <c r="F7" s="268">
        <v>8</v>
      </c>
      <c r="G7" s="268">
        <v>4</v>
      </c>
      <c r="H7" s="268">
        <v>0</v>
      </c>
      <c r="I7" s="268">
        <v>36</v>
      </c>
      <c r="J7" s="292">
        <f t="shared" ref="J7:J24" si="0">SUMPRODUCT(D7:H7,D$3:H$3)*I7*C7/100</f>
        <v>207.36</v>
      </c>
      <c r="K7" s="286" t="s">
        <v>572</v>
      </c>
      <c r="L7" s="287" t="s">
        <v>574</v>
      </c>
    </row>
    <row r="8" spans="1:12">
      <c r="A8" s="286" t="s">
        <v>571</v>
      </c>
      <c r="B8" s="286" t="s">
        <v>128</v>
      </c>
      <c r="C8" s="267">
        <v>1</v>
      </c>
      <c r="D8" s="268">
        <v>0</v>
      </c>
      <c r="E8" s="268">
        <v>12</v>
      </c>
      <c r="F8" s="268">
        <v>48</v>
      </c>
      <c r="G8" s="268">
        <v>36</v>
      </c>
      <c r="H8" s="268">
        <v>4</v>
      </c>
      <c r="I8" s="268">
        <v>13</v>
      </c>
      <c r="J8" s="292">
        <f t="shared" si="0"/>
        <v>31.2</v>
      </c>
      <c r="K8" s="286" t="s">
        <v>572</v>
      </c>
      <c r="L8" s="287" t="s">
        <v>575</v>
      </c>
    </row>
    <row r="9" spans="1:12">
      <c r="A9" s="286" t="s">
        <v>571</v>
      </c>
      <c r="B9" s="286" t="s">
        <v>125</v>
      </c>
      <c r="C9" s="267">
        <v>1.6</v>
      </c>
      <c r="D9" s="268">
        <v>0</v>
      </c>
      <c r="E9" s="268">
        <v>60</v>
      </c>
      <c r="F9" s="268">
        <v>32</v>
      </c>
      <c r="G9" s="268">
        <v>8</v>
      </c>
      <c r="H9" s="268">
        <v>0</v>
      </c>
      <c r="I9" s="268">
        <v>39</v>
      </c>
      <c r="J9" s="292">
        <f t="shared" si="0"/>
        <v>252.09600000000003</v>
      </c>
      <c r="K9" s="286" t="s">
        <v>572</v>
      </c>
      <c r="L9" s="287" t="s">
        <v>576</v>
      </c>
    </row>
    <row r="10" spans="1:12">
      <c r="A10" s="286" t="s">
        <v>571</v>
      </c>
      <c r="B10" s="286" t="s">
        <v>128</v>
      </c>
      <c r="C10" s="267">
        <v>1</v>
      </c>
      <c r="D10" s="268">
        <v>0</v>
      </c>
      <c r="E10" s="268">
        <v>48</v>
      </c>
      <c r="F10" s="268">
        <v>44</v>
      </c>
      <c r="G10" s="268">
        <v>8</v>
      </c>
      <c r="H10" s="268">
        <v>0</v>
      </c>
      <c r="I10" s="268">
        <v>9</v>
      </c>
      <c r="J10" s="292">
        <f t="shared" si="0"/>
        <v>34.200000000000003</v>
      </c>
      <c r="K10" s="286" t="s">
        <v>572</v>
      </c>
      <c r="L10" s="287" t="s">
        <v>577</v>
      </c>
    </row>
    <row r="11" spans="1:12">
      <c r="A11" s="286" t="s">
        <v>571</v>
      </c>
      <c r="B11" s="286" t="s">
        <v>125</v>
      </c>
      <c r="C11" s="267">
        <v>1.6</v>
      </c>
      <c r="D11" s="268">
        <v>0</v>
      </c>
      <c r="E11" s="268">
        <v>44</v>
      </c>
      <c r="F11" s="268">
        <v>44</v>
      </c>
      <c r="G11" s="268">
        <v>8</v>
      </c>
      <c r="H11" s="268">
        <v>4</v>
      </c>
      <c r="I11" s="268">
        <v>34</v>
      </c>
      <c r="J11" s="292">
        <f t="shared" si="0"/>
        <v>195.84</v>
      </c>
      <c r="K11" s="286" t="s">
        <v>572</v>
      </c>
      <c r="L11" s="287" t="s">
        <v>578</v>
      </c>
    </row>
    <row r="12" spans="1:12">
      <c r="A12" s="286" t="s">
        <v>571</v>
      </c>
      <c r="B12" s="286" t="s">
        <v>125</v>
      </c>
      <c r="C12" s="267">
        <v>1.6</v>
      </c>
      <c r="D12" s="268">
        <v>8</v>
      </c>
      <c r="E12" s="268">
        <v>52</v>
      </c>
      <c r="F12" s="268">
        <v>32</v>
      </c>
      <c r="G12" s="268">
        <v>8</v>
      </c>
      <c r="H12" s="268">
        <v>0</v>
      </c>
      <c r="I12" s="268">
        <v>15</v>
      </c>
      <c r="J12" s="292">
        <f t="shared" si="0"/>
        <v>102.72</v>
      </c>
      <c r="K12" s="286" t="s">
        <v>572</v>
      </c>
      <c r="L12" s="286" t="s">
        <v>579</v>
      </c>
    </row>
    <row r="13" spans="1:12">
      <c r="A13" s="286" t="s">
        <v>571</v>
      </c>
      <c r="B13" s="286" t="s">
        <v>124</v>
      </c>
      <c r="C13" s="267">
        <v>1.6</v>
      </c>
      <c r="D13" s="268">
        <v>12</v>
      </c>
      <c r="E13" s="268">
        <v>8</v>
      </c>
      <c r="F13" s="268">
        <v>40</v>
      </c>
      <c r="G13" s="268">
        <v>32</v>
      </c>
      <c r="H13" s="268">
        <v>8</v>
      </c>
      <c r="I13" s="268">
        <v>98</v>
      </c>
      <c r="J13" s="292">
        <f t="shared" si="0"/>
        <v>451.584</v>
      </c>
      <c r="K13" s="286" t="s">
        <v>572</v>
      </c>
      <c r="L13" s="287" t="s">
        <v>580</v>
      </c>
    </row>
    <row r="14" spans="1:12">
      <c r="A14" s="286" t="s">
        <v>571</v>
      </c>
      <c r="B14" s="286" t="s">
        <v>125</v>
      </c>
      <c r="C14" s="269">
        <v>1.3</v>
      </c>
      <c r="D14" s="268">
        <v>4</v>
      </c>
      <c r="E14" s="268">
        <v>20</v>
      </c>
      <c r="F14" s="268">
        <v>76</v>
      </c>
      <c r="G14" s="268">
        <v>0</v>
      </c>
      <c r="H14" s="268">
        <v>0</v>
      </c>
      <c r="I14" s="268">
        <v>16</v>
      </c>
      <c r="J14" s="292">
        <f t="shared" si="0"/>
        <v>74.88</v>
      </c>
      <c r="K14" s="286" t="s">
        <v>572</v>
      </c>
      <c r="L14" s="286" t="s">
        <v>581</v>
      </c>
    </row>
    <row r="15" spans="1:12">
      <c r="A15" s="286" t="s">
        <v>571</v>
      </c>
      <c r="B15" s="286" t="s">
        <v>128</v>
      </c>
      <c r="C15" s="267">
        <v>1.3</v>
      </c>
      <c r="D15" s="268">
        <v>0</v>
      </c>
      <c r="E15" s="268">
        <v>8</v>
      </c>
      <c r="F15" s="268">
        <v>20</v>
      </c>
      <c r="G15" s="268">
        <v>16</v>
      </c>
      <c r="H15" s="268">
        <v>56</v>
      </c>
      <c r="I15" s="268">
        <v>10</v>
      </c>
      <c r="J15" s="292">
        <f t="shared" ref="J15" si="1">SUMPRODUCT(D15:H15,D$3:H$3)*I15*C15/100</f>
        <v>15.08</v>
      </c>
      <c r="K15" s="286" t="s">
        <v>572</v>
      </c>
      <c r="L15" s="286" t="s">
        <v>582</v>
      </c>
    </row>
    <row r="16" spans="1:12">
      <c r="A16" s="286" t="s">
        <v>571</v>
      </c>
      <c r="B16" s="286" t="s">
        <v>125</v>
      </c>
      <c r="C16" s="267">
        <v>1.3</v>
      </c>
      <c r="D16" s="268">
        <v>0</v>
      </c>
      <c r="E16" s="268">
        <v>8</v>
      </c>
      <c r="F16" s="268">
        <v>20</v>
      </c>
      <c r="G16" s="268">
        <v>16</v>
      </c>
      <c r="H16" s="268">
        <v>56</v>
      </c>
      <c r="I16" s="268">
        <f>25-I15</f>
        <v>15</v>
      </c>
      <c r="J16" s="292">
        <f t="shared" si="0"/>
        <v>22.62</v>
      </c>
      <c r="K16" s="286" t="s">
        <v>572</v>
      </c>
      <c r="L16" s="286" t="s">
        <v>582</v>
      </c>
    </row>
    <row r="17" spans="1:12">
      <c r="A17" s="286" t="s">
        <v>571</v>
      </c>
      <c r="B17" s="286" t="s">
        <v>127</v>
      </c>
      <c r="C17" s="267">
        <v>1</v>
      </c>
      <c r="D17" s="268">
        <v>0</v>
      </c>
      <c r="E17" s="268">
        <v>4</v>
      </c>
      <c r="F17" s="268">
        <v>28</v>
      </c>
      <c r="G17" s="268">
        <v>64</v>
      </c>
      <c r="H17" s="268">
        <v>4</v>
      </c>
      <c r="I17" s="268">
        <v>22</v>
      </c>
      <c r="J17" s="292">
        <f t="shared" si="0"/>
        <v>36.96</v>
      </c>
      <c r="K17" s="286" t="s">
        <v>583</v>
      </c>
      <c r="L17" s="287" t="s">
        <v>584</v>
      </c>
    </row>
    <row r="18" spans="1:12">
      <c r="A18" s="286" t="s">
        <v>571</v>
      </c>
      <c r="B18" s="286" t="s">
        <v>128</v>
      </c>
      <c r="C18" s="267">
        <v>1</v>
      </c>
      <c r="D18" s="268">
        <v>0</v>
      </c>
      <c r="E18" s="268">
        <v>8</v>
      </c>
      <c r="F18" s="268">
        <v>36</v>
      </c>
      <c r="G18" s="268">
        <v>48</v>
      </c>
      <c r="H18" s="268">
        <v>8</v>
      </c>
      <c r="I18" s="268">
        <v>8</v>
      </c>
      <c r="J18" s="292">
        <f t="shared" si="0"/>
        <v>15.68</v>
      </c>
      <c r="K18" s="286" t="s">
        <v>585</v>
      </c>
      <c r="L18" s="287" t="s">
        <v>584</v>
      </c>
    </row>
    <row r="19" spans="1:12">
      <c r="A19" s="286" t="s">
        <v>571</v>
      </c>
      <c r="B19" s="286" t="s">
        <v>126</v>
      </c>
      <c r="C19" s="267">
        <v>1</v>
      </c>
      <c r="D19" s="268">
        <v>0</v>
      </c>
      <c r="E19" s="268">
        <v>8</v>
      </c>
      <c r="F19" s="268">
        <v>40</v>
      </c>
      <c r="G19" s="268">
        <v>52</v>
      </c>
      <c r="H19" s="268">
        <v>0</v>
      </c>
      <c r="I19" s="268">
        <v>49</v>
      </c>
      <c r="J19" s="292">
        <f t="shared" si="0"/>
        <v>103.88</v>
      </c>
      <c r="K19" s="286" t="s">
        <v>572</v>
      </c>
      <c r="L19" s="287" t="s">
        <v>586</v>
      </c>
    </row>
    <row r="20" spans="1:12">
      <c r="A20" s="286" t="s">
        <v>571</v>
      </c>
      <c r="B20" s="286" t="s">
        <v>128</v>
      </c>
      <c r="C20" s="269">
        <v>1.3</v>
      </c>
      <c r="D20" s="268">
        <v>0</v>
      </c>
      <c r="E20" s="268">
        <v>12</v>
      </c>
      <c r="F20" s="268">
        <v>52</v>
      </c>
      <c r="G20" s="268">
        <v>20</v>
      </c>
      <c r="H20" s="268">
        <v>16</v>
      </c>
      <c r="I20" s="268">
        <v>16</v>
      </c>
      <c r="J20" s="292">
        <f t="shared" si="0"/>
        <v>49.088000000000001</v>
      </c>
      <c r="K20" s="286" t="s">
        <v>572</v>
      </c>
      <c r="L20" s="287" t="s">
        <v>587</v>
      </c>
    </row>
    <row r="21" spans="1:12">
      <c r="A21" s="286" t="s">
        <v>571</v>
      </c>
      <c r="B21" s="286" t="s">
        <v>128</v>
      </c>
      <c r="C21" s="269">
        <v>1.3</v>
      </c>
      <c r="D21" s="268">
        <v>0</v>
      </c>
      <c r="E21" s="268">
        <v>8</v>
      </c>
      <c r="F21" s="268">
        <v>68</v>
      </c>
      <c r="G21" s="268">
        <v>24</v>
      </c>
      <c r="H21" s="268">
        <v>0</v>
      </c>
      <c r="I21" s="268">
        <v>7</v>
      </c>
      <c r="J21" s="292">
        <f t="shared" si="0"/>
        <v>24.388000000000002</v>
      </c>
      <c r="K21" s="286" t="s">
        <v>572</v>
      </c>
      <c r="L21" s="287" t="s">
        <v>588</v>
      </c>
    </row>
    <row r="22" spans="1:12">
      <c r="A22" s="286" t="s">
        <v>571</v>
      </c>
      <c r="B22" s="286" t="s">
        <v>125</v>
      </c>
      <c r="C22" s="267">
        <v>1.6</v>
      </c>
      <c r="D22" s="268">
        <v>8</v>
      </c>
      <c r="E22" s="268">
        <v>16</v>
      </c>
      <c r="F22" s="268">
        <v>40</v>
      </c>
      <c r="G22" s="268">
        <v>28</v>
      </c>
      <c r="H22" s="268">
        <v>8</v>
      </c>
      <c r="I22" s="268">
        <v>11</v>
      </c>
      <c r="J22" s="292">
        <f t="shared" si="0"/>
        <v>51.39200000000001</v>
      </c>
      <c r="K22" s="286" t="s">
        <v>572</v>
      </c>
      <c r="L22" s="287" t="s">
        <v>589</v>
      </c>
    </row>
    <row r="23" spans="1:12" ht="28.5">
      <c r="A23" s="286" t="s">
        <v>571</v>
      </c>
      <c r="B23" s="286" t="s">
        <v>124</v>
      </c>
      <c r="C23" s="267">
        <v>1.6</v>
      </c>
      <c r="D23" s="268">
        <v>0</v>
      </c>
      <c r="E23" s="268">
        <v>24</v>
      </c>
      <c r="F23" s="268">
        <v>52</v>
      </c>
      <c r="G23" s="268">
        <v>4</v>
      </c>
      <c r="H23" s="268">
        <v>20</v>
      </c>
      <c r="I23" s="268">
        <v>88</v>
      </c>
      <c r="J23" s="292">
        <f t="shared" si="0"/>
        <v>394.24</v>
      </c>
      <c r="K23" s="286" t="s">
        <v>572</v>
      </c>
      <c r="L23" s="287" t="s">
        <v>590</v>
      </c>
    </row>
    <row r="24" spans="1:12">
      <c r="A24" s="286" t="s">
        <v>571</v>
      </c>
      <c r="B24" s="286" t="s">
        <v>124</v>
      </c>
      <c r="C24" s="267">
        <v>1.6</v>
      </c>
      <c r="D24" s="268">
        <v>4</v>
      </c>
      <c r="E24" s="268">
        <v>28</v>
      </c>
      <c r="F24" s="268">
        <v>28</v>
      </c>
      <c r="G24" s="268">
        <v>24</v>
      </c>
      <c r="H24" s="268">
        <v>16</v>
      </c>
      <c r="I24" s="268">
        <v>45</v>
      </c>
      <c r="J24" s="292">
        <f t="shared" si="0"/>
        <v>201.6</v>
      </c>
      <c r="K24" s="286" t="s">
        <v>572</v>
      </c>
      <c r="L24" s="287" t="s">
        <v>591</v>
      </c>
    </row>
    <row r="28" spans="1:12" ht="15.75">
      <c r="A28" s="166"/>
      <c r="B28" s="246" t="s">
        <v>425</v>
      </c>
      <c r="C28" s="276" t="s">
        <v>50</v>
      </c>
    </row>
    <row r="29" spans="1:12" ht="15.75">
      <c r="A29" s="220" t="s">
        <v>124</v>
      </c>
      <c r="B29" s="302">
        <f>SUMIFS(J$5:J$24,B$5:B$24,A29)</f>
        <v>1047.424</v>
      </c>
      <c r="C29" s="277">
        <f t="shared" ref="C29:C35" si="2">B29/B$36</f>
        <v>0.42767221639701963</v>
      </c>
    </row>
    <row r="30" spans="1:12" ht="15.75">
      <c r="A30" s="220" t="s">
        <v>125</v>
      </c>
      <c r="B30" s="302">
        <f t="shared" ref="B30:B35" si="3">SUMIFS(J$5:J$24,B$5:B$24,A30)</f>
        <v>883.86800000000017</v>
      </c>
      <c r="C30" s="277">
        <f t="shared" si="2"/>
        <v>0.36089089667832802</v>
      </c>
    </row>
    <row r="31" spans="1:12" ht="15.75">
      <c r="A31" s="220" t="s">
        <v>126</v>
      </c>
      <c r="B31" s="302">
        <f t="shared" si="3"/>
        <v>103.88</v>
      </c>
      <c r="C31" s="277">
        <f t="shared" si="2"/>
        <v>4.2415096311830165E-2</v>
      </c>
    </row>
    <row r="32" spans="1:12" ht="15.75">
      <c r="A32" s="220" t="s">
        <v>127</v>
      </c>
      <c r="B32" s="302">
        <f t="shared" si="3"/>
        <v>36.96</v>
      </c>
      <c r="C32" s="277">
        <f t="shared" si="2"/>
        <v>1.5091085480219897E-2</v>
      </c>
    </row>
    <row r="33" spans="1:3" ht="15.75">
      <c r="A33" s="220" t="s">
        <v>128</v>
      </c>
      <c r="B33" s="302">
        <f t="shared" si="3"/>
        <v>376.99599999999998</v>
      </c>
      <c r="C33" s="277">
        <f t="shared" si="2"/>
        <v>0.15393070513260229</v>
      </c>
    </row>
    <row r="34" spans="1:3" ht="15.75">
      <c r="A34" s="220" t="s">
        <v>664</v>
      </c>
      <c r="B34" s="302">
        <f t="shared" si="3"/>
        <v>0</v>
      </c>
      <c r="C34" s="277">
        <f t="shared" si="2"/>
        <v>0</v>
      </c>
    </row>
    <row r="35" spans="1:3" ht="15.75">
      <c r="A35" s="220" t="s">
        <v>130</v>
      </c>
      <c r="B35" s="302">
        <f t="shared" si="3"/>
        <v>0</v>
      </c>
      <c r="C35" s="277">
        <f t="shared" si="2"/>
        <v>0</v>
      </c>
    </row>
    <row r="36" spans="1:3" ht="15.75">
      <c r="A36" s="220" t="s">
        <v>150</v>
      </c>
      <c r="B36" s="302">
        <f>SUM(B29:B35)</f>
        <v>2449.1280000000002</v>
      </c>
      <c r="C36" s="277">
        <f>SUM(C29:C35)</f>
        <v>1</v>
      </c>
    </row>
  </sheetData>
  <mergeCells count="2">
    <mergeCell ref="D5:H5"/>
    <mergeCell ref="D1:H1"/>
  </mergeCells>
  <pageMargins left="0.7" right="0.7" top="0.75" bottom="0.75" header="0.3" footer="0.3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11"/>
  <sheetViews>
    <sheetView zoomScale="130" zoomScaleNormal="130" workbookViewId="0">
      <selection activeCell="A18" sqref="A18:I20"/>
    </sheetView>
  </sheetViews>
  <sheetFormatPr defaultColWidth="11" defaultRowHeight="15"/>
  <sheetData>
    <row r="2" spans="1:10" ht="31.5">
      <c r="A2" s="211" t="s">
        <v>417</v>
      </c>
      <c r="B2" s="211" t="s">
        <v>418</v>
      </c>
      <c r="C2" s="211" t="s">
        <v>419</v>
      </c>
      <c r="D2" s="211" t="s">
        <v>420</v>
      </c>
      <c r="E2" s="211" t="s">
        <v>421</v>
      </c>
      <c r="F2" s="211" t="s">
        <v>422</v>
      </c>
      <c r="G2" s="211" t="s">
        <v>423</v>
      </c>
      <c r="H2" s="211" t="s">
        <v>424</v>
      </c>
      <c r="I2" s="211" t="s">
        <v>218</v>
      </c>
      <c r="J2" s="211" t="s">
        <v>425</v>
      </c>
    </row>
    <row r="3" spans="1:10" ht="15.75">
      <c r="A3" s="123" t="s">
        <v>124</v>
      </c>
      <c r="B3" s="191">
        <v>0</v>
      </c>
      <c r="C3" s="191">
        <v>0</v>
      </c>
      <c r="D3" s="191">
        <v>0</v>
      </c>
      <c r="E3" s="191">
        <v>0</v>
      </c>
      <c r="F3" s="191">
        <v>0</v>
      </c>
      <c r="G3" s="191">
        <v>0</v>
      </c>
      <c r="H3" s="191">
        <v>0</v>
      </c>
      <c r="I3" s="191">
        <f>SUM(B3:H3)</f>
        <v>0</v>
      </c>
      <c r="J3" s="214">
        <f>IFERROR(I3/I$10,0)</f>
        <v>0</v>
      </c>
    </row>
    <row r="4" spans="1:10" ht="15.75">
      <c r="A4" s="123" t="s">
        <v>125</v>
      </c>
      <c r="B4" s="191">
        <v>599072</v>
      </c>
      <c r="C4" s="191">
        <v>108233</v>
      </c>
      <c r="D4" s="191">
        <v>0</v>
      </c>
      <c r="E4" s="191">
        <v>0</v>
      </c>
      <c r="F4" s="191">
        <v>0</v>
      </c>
      <c r="G4" s="191">
        <v>0</v>
      </c>
      <c r="H4" s="191">
        <v>0</v>
      </c>
      <c r="I4" s="191">
        <f t="shared" ref="I4:I9" si="0">SUM(B4:H4)</f>
        <v>707305</v>
      </c>
      <c r="J4" s="214">
        <f t="shared" ref="J4:J9" si="1">IFERROR(I4/I$10,0)</f>
        <v>0.99230488643218895</v>
      </c>
    </row>
    <row r="5" spans="1:10" ht="15.75">
      <c r="A5" s="123" t="s">
        <v>404</v>
      </c>
      <c r="B5" s="191">
        <v>0</v>
      </c>
      <c r="C5" s="191">
        <v>0</v>
      </c>
      <c r="D5" s="191">
        <v>0</v>
      </c>
      <c r="E5" s="191">
        <v>0</v>
      </c>
      <c r="F5" s="191">
        <v>0</v>
      </c>
      <c r="G5" s="191">
        <v>0</v>
      </c>
      <c r="H5" s="191">
        <v>0</v>
      </c>
      <c r="I5" s="191">
        <f t="shared" si="0"/>
        <v>0</v>
      </c>
      <c r="J5" s="214">
        <f t="shared" si="1"/>
        <v>0</v>
      </c>
    </row>
    <row r="6" spans="1:10" ht="15.75">
      <c r="A6" s="123" t="s">
        <v>127</v>
      </c>
      <c r="B6" s="191">
        <v>0</v>
      </c>
      <c r="C6" s="191">
        <v>0</v>
      </c>
      <c r="D6" s="191">
        <v>0</v>
      </c>
      <c r="E6" s="191">
        <v>0</v>
      </c>
      <c r="F6" s="191">
        <v>0</v>
      </c>
      <c r="G6" s="191">
        <v>0</v>
      </c>
      <c r="H6" s="191">
        <v>0</v>
      </c>
      <c r="I6" s="191">
        <f t="shared" si="0"/>
        <v>0</v>
      </c>
      <c r="J6" s="214">
        <f t="shared" si="1"/>
        <v>0</v>
      </c>
    </row>
    <row r="7" spans="1:10" ht="15.75">
      <c r="A7" s="123" t="s">
        <v>128</v>
      </c>
      <c r="B7" s="191">
        <v>0</v>
      </c>
      <c r="C7" s="191">
        <v>0</v>
      </c>
      <c r="D7" s="191">
        <v>0</v>
      </c>
      <c r="E7" s="191">
        <v>0</v>
      </c>
      <c r="F7" s="191">
        <v>4065</v>
      </c>
      <c r="G7" s="191">
        <v>0</v>
      </c>
      <c r="H7" s="191">
        <v>0</v>
      </c>
      <c r="I7" s="191">
        <f t="shared" si="0"/>
        <v>4065</v>
      </c>
      <c r="J7" s="214">
        <f t="shared" si="1"/>
        <v>5.7029419604652139E-3</v>
      </c>
    </row>
    <row r="8" spans="1:10" ht="15.75">
      <c r="A8" s="123" t="s">
        <v>664</v>
      </c>
      <c r="B8" s="191">
        <v>0</v>
      </c>
      <c r="C8" s="191">
        <v>0</v>
      </c>
      <c r="D8" s="191">
        <v>0</v>
      </c>
      <c r="E8" s="191">
        <v>0</v>
      </c>
      <c r="F8" s="191">
        <v>0</v>
      </c>
      <c r="G8" s="191">
        <v>0</v>
      </c>
      <c r="H8" s="191">
        <v>0</v>
      </c>
      <c r="I8" s="191">
        <f t="shared" si="0"/>
        <v>0</v>
      </c>
      <c r="J8" s="214">
        <f t="shared" si="1"/>
        <v>0</v>
      </c>
    </row>
    <row r="9" spans="1:10" ht="15.75">
      <c r="A9" s="123" t="s">
        <v>130</v>
      </c>
      <c r="B9" s="191">
        <v>1420</v>
      </c>
      <c r="C9" s="191">
        <v>0</v>
      </c>
      <c r="D9" s="191">
        <v>0</v>
      </c>
      <c r="E9" s="191">
        <v>0</v>
      </c>
      <c r="F9" s="191">
        <v>0</v>
      </c>
      <c r="G9" s="191">
        <v>0</v>
      </c>
      <c r="H9" s="191">
        <v>0</v>
      </c>
      <c r="I9" s="191">
        <f t="shared" si="0"/>
        <v>1420</v>
      </c>
      <c r="J9" s="214">
        <f t="shared" si="1"/>
        <v>1.9921716073457822E-3</v>
      </c>
    </row>
    <row r="10" spans="1:10" ht="15.75">
      <c r="A10" s="216" t="s">
        <v>412</v>
      </c>
      <c r="B10" s="218">
        <f t="shared" ref="B10:J10" si="2">SUM(B3:B9)</f>
        <v>600492</v>
      </c>
      <c r="C10" s="218">
        <f t="shared" si="2"/>
        <v>108233</v>
      </c>
      <c r="D10" s="218">
        <f t="shared" si="2"/>
        <v>0</v>
      </c>
      <c r="E10" s="218">
        <f t="shared" si="2"/>
        <v>0</v>
      </c>
      <c r="F10" s="218">
        <f t="shared" si="2"/>
        <v>4065</v>
      </c>
      <c r="G10" s="218">
        <f t="shared" si="2"/>
        <v>0</v>
      </c>
      <c r="H10" s="218">
        <f t="shared" si="2"/>
        <v>0</v>
      </c>
      <c r="I10" s="218">
        <f t="shared" si="2"/>
        <v>712790</v>
      </c>
      <c r="J10" s="219">
        <f t="shared" si="2"/>
        <v>0.99999999999999989</v>
      </c>
    </row>
    <row r="11" spans="1:10" ht="15.75">
      <c r="I11" s="310">
        <f>SUM('07712-mzdy'!G15,'07712-mzdy'!G22)</f>
        <v>712790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9"/>
  <sheetViews>
    <sheetView topLeftCell="A21" workbookViewId="0">
      <selection activeCell="D53" sqref="D53"/>
    </sheetView>
  </sheetViews>
  <sheetFormatPr defaultColWidth="14.28515625" defaultRowHeight="15.75"/>
  <cols>
    <col min="1" max="1" width="14.7109375" style="4" customWidth="1"/>
    <col min="2" max="2" width="12" style="4" customWidth="1"/>
    <col min="3" max="3" width="14.140625" style="4" customWidth="1"/>
    <col min="4" max="7" width="14.28515625" style="4" customWidth="1"/>
    <col min="8" max="11" width="14.28515625" style="10" customWidth="1"/>
    <col min="12" max="16384" width="14.28515625" style="4"/>
  </cols>
  <sheetData>
    <row r="1" spans="1:8" s="32" customFormat="1" ht="47.25">
      <c r="A1" s="14" t="s">
        <v>393</v>
      </c>
      <c r="B1" s="14" t="s">
        <v>141</v>
      </c>
      <c r="C1" s="14" t="s">
        <v>394</v>
      </c>
      <c r="D1" s="14" t="s">
        <v>395</v>
      </c>
      <c r="E1" s="14" t="s">
        <v>396</v>
      </c>
      <c r="F1" s="14" t="s">
        <v>397</v>
      </c>
      <c r="G1" s="14" t="s">
        <v>398</v>
      </c>
      <c r="H1" s="6"/>
    </row>
    <row r="2" spans="1:8">
      <c r="A2" s="15" t="s">
        <v>399</v>
      </c>
      <c r="B2" s="206" t="s">
        <v>125</v>
      </c>
      <c r="C2" s="207">
        <v>24</v>
      </c>
      <c r="D2" s="206" t="s">
        <v>400</v>
      </c>
      <c r="E2" s="208">
        <v>4</v>
      </c>
      <c r="F2" s="209">
        <v>16.170000000000002</v>
      </c>
      <c r="G2" s="16">
        <f t="shared" ref="G2:G17" si="0">(E2-1)^2*F2</f>
        <v>145.53000000000003</v>
      </c>
    </row>
    <row r="3" spans="1:8">
      <c r="A3" s="15" t="s">
        <v>399</v>
      </c>
      <c r="B3" s="206" t="s">
        <v>129</v>
      </c>
      <c r="C3" s="207">
        <v>21</v>
      </c>
      <c r="D3" s="206" t="s">
        <v>401</v>
      </c>
      <c r="E3" s="208">
        <v>1.7</v>
      </c>
      <c r="F3" s="209">
        <v>2.67</v>
      </c>
      <c r="G3" s="16">
        <f t="shared" si="0"/>
        <v>1.3082999999999998</v>
      </c>
    </row>
    <row r="4" spans="1:8">
      <c r="A4" s="15" t="s">
        <v>399</v>
      </c>
      <c r="B4" s="206" t="s">
        <v>124</v>
      </c>
      <c r="C4" s="207">
        <v>18</v>
      </c>
      <c r="D4" s="206" t="s">
        <v>400</v>
      </c>
      <c r="E4" s="208">
        <v>3.95</v>
      </c>
      <c r="F4" s="209">
        <v>236.5</v>
      </c>
      <c r="G4" s="16">
        <f t="shared" si="0"/>
        <v>2058.1412500000001</v>
      </c>
    </row>
    <row r="5" spans="1:8">
      <c r="A5" s="15" t="s">
        <v>399</v>
      </c>
      <c r="B5" s="206" t="s">
        <v>125</v>
      </c>
      <c r="C5" s="207">
        <v>16</v>
      </c>
      <c r="D5" s="206" t="s">
        <v>402</v>
      </c>
      <c r="E5" s="208">
        <v>3.5</v>
      </c>
      <c r="F5" s="209">
        <v>12.17</v>
      </c>
      <c r="G5" s="16">
        <f t="shared" si="0"/>
        <v>76.0625</v>
      </c>
    </row>
    <row r="6" spans="1:8">
      <c r="A6" s="15" t="s">
        <v>399</v>
      </c>
      <c r="B6" s="206" t="s">
        <v>125</v>
      </c>
      <c r="C6" s="207">
        <v>13</v>
      </c>
      <c r="D6" s="206" t="s">
        <v>400</v>
      </c>
      <c r="E6" s="208">
        <v>3.9</v>
      </c>
      <c r="F6" s="209">
        <v>24.33</v>
      </c>
      <c r="G6" s="16">
        <f t="shared" si="0"/>
        <v>204.61529999999999</v>
      </c>
    </row>
    <row r="7" spans="1:8">
      <c r="A7" s="15" t="s">
        <v>399</v>
      </c>
      <c r="B7" s="206" t="s">
        <v>125</v>
      </c>
      <c r="C7" s="207">
        <v>12</v>
      </c>
      <c r="D7" s="206" t="s">
        <v>400</v>
      </c>
      <c r="E7" s="208">
        <v>3.95</v>
      </c>
      <c r="F7" s="209">
        <v>34.5</v>
      </c>
      <c r="G7" s="16">
        <f t="shared" si="0"/>
        <v>300.23625000000004</v>
      </c>
    </row>
    <row r="8" spans="1:8">
      <c r="A8" s="15" t="s">
        <v>399</v>
      </c>
      <c r="B8" s="206" t="s">
        <v>125</v>
      </c>
      <c r="C8" s="207">
        <v>10</v>
      </c>
      <c r="D8" s="206" t="s">
        <v>402</v>
      </c>
      <c r="E8" s="208">
        <v>3.7</v>
      </c>
      <c r="F8" s="209">
        <v>7.67</v>
      </c>
      <c r="G8" s="16">
        <f t="shared" si="0"/>
        <v>55.914300000000004</v>
      </c>
    </row>
    <row r="9" spans="1:8">
      <c r="A9" s="15" t="s">
        <v>399</v>
      </c>
      <c r="B9" s="206" t="s">
        <v>125</v>
      </c>
      <c r="C9" s="207">
        <v>9</v>
      </c>
      <c r="D9" s="206" t="s">
        <v>403</v>
      </c>
      <c r="E9" s="208">
        <v>3.1</v>
      </c>
      <c r="F9" s="209">
        <v>9.5</v>
      </c>
      <c r="G9" s="16">
        <f t="shared" si="0"/>
        <v>41.895000000000003</v>
      </c>
    </row>
    <row r="10" spans="1:8">
      <c r="A10" s="15" t="s">
        <v>399</v>
      </c>
      <c r="B10" s="206" t="s">
        <v>125</v>
      </c>
      <c r="C10" s="207">
        <v>9</v>
      </c>
      <c r="D10" s="206" t="s">
        <v>400</v>
      </c>
      <c r="E10" s="208">
        <v>4</v>
      </c>
      <c r="F10" s="209">
        <v>31</v>
      </c>
      <c r="G10" s="16">
        <f t="shared" si="0"/>
        <v>279</v>
      </c>
    </row>
    <row r="11" spans="1:8">
      <c r="A11" s="15" t="s">
        <v>399</v>
      </c>
      <c r="B11" s="206" t="s">
        <v>404</v>
      </c>
      <c r="C11" s="207">
        <v>7</v>
      </c>
      <c r="D11" s="206" t="s">
        <v>402</v>
      </c>
      <c r="E11" s="208">
        <v>3.5</v>
      </c>
      <c r="F11" s="209">
        <v>44.5</v>
      </c>
      <c r="G11" s="16">
        <f t="shared" si="0"/>
        <v>278.125</v>
      </c>
    </row>
    <row r="12" spans="1:8">
      <c r="A12" s="15" t="s">
        <v>399</v>
      </c>
      <c r="B12" s="206" t="s">
        <v>128</v>
      </c>
      <c r="C12" s="207">
        <v>6</v>
      </c>
      <c r="D12" s="206" t="s">
        <v>402</v>
      </c>
      <c r="E12" s="208">
        <v>3.5</v>
      </c>
      <c r="F12" s="209">
        <v>16.489999999999998</v>
      </c>
      <c r="G12" s="16">
        <f t="shared" si="0"/>
        <v>103.06249999999999</v>
      </c>
    </row>
    <row r="13" spans="1:8">
      <c r="A13" s="15" t="s">
        <v>399</v>
      </c>
      <c r="B13" s="206" t="s">
        <v>127</v>
      </c>
      <c r="C13" s="207">
        <v>6</v>
      </c>
      <c r="D13" s="206" t="s">
        <v>405</v>
      </c>
      <c r="E13" s="208">
        <v>2.65</v>
      </c>
      <c r="F13" s="209">
        <v>23.34</v>
      </c>
      <c r="G13" s="16">
        <f t="shared" si="0"/>
        <v>63.54314999999999</v>
      </c>
    </row>
    <row r="14" spans="1:8">
      <c r="A14" s="15" t="s">
        <v>399</v>
      </c>
      <c r="B14" s="207" t="s">
        <v>128</v>
      </c>
      <c r="C14" s="207">
        <v>3</v>
      </c>
      <c r="D14" s="206" t="s">
        <v>403</v>
      </c>
      <c r="E14" s="210">
        <v>3.35</v>
      </c>
      <c r="F14" s="209">
        <v>4</v>
      </c>
      <c r="G14" s="16">
        <f t="shared" si="0"/>
        <v>22.090000000000003</v>
      </c>
      <c r="H14" s="208">
        <v>2.95</v>
      </c>
    </row>
    <row r="15" spans="1:8">
      <c r="A15" s="15" t="s">
        <v>399</v>
      </c>
      <c r="B15" s="207" t="s">
        <v>128</v>
      </c>
      <c r="C15" s="207">
        <v>2</v>
      </c>
      <c r="D15" s="206" t="s">
        <v>406</v>
      </c>
      <c r="E15" s="208">
        <v>3.45</v>
      </c>
      <c r="F15" s="209">
        <v>54.83</v>
      </c>
      <c r="G15" s="16">
        <f t="shared" si="0"/>
        <v>329.11707500000006</v>
      </c>
    </row>
    <row r="16" spans="1:8">
      <c r="A16" s="15" t="s">
        <v>399</v>
      </c>
      <c r="B16" s="206" t="s">
        <v>125</v>
      </c>
      <c r="C16" s="207">
        <v>1</v>
      </c>
      <c r="D16" s="206" t="s">
        <v>402</v>
      </c>
      <c r="E16" s="208">
        <v>3.7</v>
      </c>
      <c r="F16" s="209">
        <v>14.83</v>
      </c>
      <c r="G16" s="16">
        <f t="shared" si="0"/>
        <v>108.11070000000001</v>
      </c>
    </row>
    <row r="17" spans="1:8" ht="16.5" thickBot="1">
      <c r="A17" s="17" t="s">
        <v>399</v>
      </c>
      <c r="B17" s="18" t="s">
        <v>128</v>
      </c>
      <c r="C17" s="19">
        <v>1</v>
      </c>
      <c r="D17" s="18" t="s">
        <v>405</v>
      </c>
      <c r="E17" s="35">
        <v>3.35</v>
      </c>
      <c r="F17" s="20">
        <v>7.83</v>
      </c>
      <c r="G17" s="21">
        <f t="shared" si="0"/>
        <v>43.241175000000005</v>
      </c>
      <c r="H17" s="31">
        <v>2.6</v>
      </c>
    </row>
    <row r="19" spans="1:8" ht="63">
      <c r="A19" s="211" t="s">
        <v>407</v>
      </c>
      <c r="B19" s="211" t="s">
        <v>408</v>
      </c>
      <c r="C19" s="211" t="s">
        <v>409</v>
      </c>
      <c r="D19" s="211" t="str">
        <f>"Prepočítaný počet AZ za rok "&amp;Rok-1</f>
        <v>Prepočítaný počet AZ za rok 2023</v>
      </c>
      <c r="E19" s="211" t="s">
        <v>410</v>
      </c>
      <c r="F19" s="211" t="s">
        <v>411</v>
      </c>
      <c r="G19" s="10"/>
    </row>
    <row r="20" spans="1:8">
      <c r="A20" s="123" t="s">
        <v>124</v>
      </c>
      <c r="B20" s="212">
        <f t="shared" ref="B20:B26" si="1">SUMIFS($G$2:$G$17,$B$2:$B$17,A20)</f>
        <v>2058.1412500000001</v>
      </c>
      <c r="C20" s="212">
        <f t="shared" ref="C20:C26" si="2">SUMIFS($F$2:$F$17,$B$2:$B$17,A20)</f>
        <v>236.5</v>
      </c>
      <c r="D20" s="213"/>
      <c r="E20" s="213">
        <f t="shared" ref="E20:E25" si="3">MAX(C20,D20)*B20/C20</f>
        <v>2058.1412500000001</v>
      </c>
      <c r="F20" s="214">
        <f t="shared" ref="F20:F26" si="4">E20/E$27</f>
        <v>0.46750059112944886</v>
      </c>
      <c r="G20" s="37"/>
      <c r="H20" s="37"/>
    </row>
    <row r="21" spans="1:8">
      <c r="A21" s="123" t="s">
        <v>125</v>
      </c>
      <c r="B21" s="212">
        <f t="shared" si="1"/>
        <v>1211.3640499999999</v>
      </c>
      <c r="C21" s="212">
        <f t="shared" si="2"/>
        <v>150.17000000000002</v>
      </c>
      <c r="D21" s="213"/>
      <c r="E21" s="213">
        <f t="shared" si="3"/>
        <v>1211.3640499999999</v>
      </c>
      <c r="F21" s="214">
        <f t="shared" si="4"/>
        <v>0.27515769845629556</v>
      </c>
      <c r="G21" s="37"/>
      <c r="H21" s="37"/>
    </row>
    <row r="22" spans="1:8">
      <c r="A22" s="123" t="s">
        <v>404</v>
      </c>
      <c r="B22" s="212">
        <f t="shared" si="1"/>
        <v>278.125</v>
      </c>
      <c r="C22" s="212">
        <f t="shared" si="2"/>
        <v>44.5</v>
      </c>
      <c r="D22" s="215">
        <v>59.268999999999998</v>
      </c>
      <c r="E22" s="213">
        <f t="shared" si="3"/>
        <v>370.43124999999998</v>
      </c>
      <c r="F22" s="214">
        <f t="shared" si="4"/>
        <v>8.4142343654897658E-2</v>
      </c>
      <c r="G22" s="37"/>
    </row>
    <row r="23" spans="1:8">
      <c r="A23" s="123" t="s">
        <v>127</v>
      </c>
      <c r="B23" s="212">
        <f t="shared" si="1"/>
        <v>63.54314999999999</v>
      </c>
      <c r="C23" s="212">
        <f t="shared" si="2"/>
        <v>23.34</v>
      </c>
      <c r="D23" s="215">
        <v>31.654</v>
      </c>
      <c r="E23" s="213">
        <f t="shared" si="3"/>
        <v>86.178014999999988</v>
      </c>
      <c r="F23" s="214">
        <f t="shared" si="4"/>
        <v>1.9575076761550018E-2</v>
      </c>
      <c r="G23" s="37"/>
    </row>
    <row r="24" spans="1:8">
      <c r="A24" s="123" t="s">
        <v>128</v>
      </c>
      <c r="B24" s="212">
        <f t="shared" si="1"/>
        <v>497.51075000000003</v>
      </c>
      <c r="C24" s="212">
        <f t="shared" si="2"/>
        <v>83.149999999999991</v>
      </c>
      <c r="D24" s="215">
        <v>111.831</v>
      </c>
      <c r="E24" s="213">
        <f t="shared" si="3"/>
        <v>669.11755481960324</v>
      </c>
      <c r="F24" s="214">
        <f t="shared" si="4"/>
        <v>0.15198803892262297</v>
      </c>
      <c r="G24" s="37"/>
    </row>
    <row r="25" spans="1:8">
      <c r="A25" s="123" t="s">
        <v>129</v>
      </c>
      <c r="B25" s="212">
        <f t="shared" si="1"/>
        <v>1.3082999999999998</v>
      </c>
      <c r="C25" s="212">
        <f t="shared" si="2"/>
        <v>2.67</v>
      </c>
      <c r="D25" s="215">
        <v>14.701000000000001</v>
      </c>
      <c r="E25" s="213">
        <f t="shared" si="3"/>
        <v>7.2034899999999995</v>
      </c>
      <c r="F25" s="214">
        <f t="shared" si="4"/>
        <v>1.636251075184987E-3</v>
      </c>
      <c r="G25" s="37"/>
    </row>
    <row r="26" spans="1:8">
      <c r="A26" s="123" t="s">
        <v>130</v>
      </c>
      <c r="B26" s="82">
        <f t="shared" si="1"/>
        <v>0</v>
      </c>
      <c r="C26" s="82">
        <f t="shared" si="2"/>
        <v>0</v>
      </c>
      <c r="D26" s="105"/>
      <c r="E26" s="213"/>
      <c r="F26" s="214">
        <f t="shared" si="4"/>
        <v>0</v>
      </c>
      <c r="G26" s="37"/>
    </row>
    <row r="27" spans="1:8">
      <c r="A27" s="216" t="s">
        <v>412</v>
      </c>
      <c r="B27" s="76">
        <f>SUM(B20:B26)</f>
        <v>4109.9924999999994</v>
      </c>
      <c r="C27" s="76">
        <f>SUM(C20:C26)</f>
        <v>540.32999999999993</v>
      </c>
      <c r="D27" s="77">
        <f>SUM(D20:D25)</f>
        <v>217.45500000000001</v>
      </c>
      <c r="E27" s="76">
        <f>SUM(E20:E25)</f>
        <v>4402.4356098196031</v>
      </c>
      <c r="F27" s="214">
        <f>SUM(F20:F25)</f>
        <v>1.0000000000000002</v>
      </c>
      <c r="G27" s="10"/>
    </row>
    <row r="28" spans="1:8">
      <c r="A28" s="10"/>
      <c r="B28" s="10"/>
      <c r="C28" s="10"/>
      <c r="D28" s="7" t="s">
        <v>413</v>
      </c>
    </row>
    <row r="30" spans="1:8">
      <c r="A30" t="s">
        <v>414</v>
      </c>
    </row>
    <row r="31" spans="1:8" ht="32.25" thickBot="1">
      <c r="A31" s="211"/>
      <c r="B31" s="211">
        <f>Rok-1</f>
        <v>2023</v>
      </c>
      <c r="C31" s="211">
        <f>Rok-2</f>
        <v>2022</v>
      </c>
      <c r="D31" s="211">
        <f>Rok-3</f>
        <v>2021</v>
      </c>
      <c r="E31" s="211">
        <f>Rok-4</f>
        <v>2020</v>
      </c>
      <c r="F31" s="211">
        <f>Rok-5</f>
        <v>2019</v>
      </c>
      <c r="G31" s="211">
        <f>Rok-6</f>
        <v>2018</v>
      </c>
      <c r="H31" s="211" t="s">
        <v>415</v>
      </c>
    </row>
    <row r="32" spans="1:8">
      <c r="A32" s="62" t="s">
        <v>124</v>
      </c>
      <c r="B32" s="104">
        <v>0.22387767533557618</v>
      </c>
      <c r="C32" s="104">
        <v>0.22560600709017756</v>
      </c>
      <c r="D32" s="104">
        <v>0.22635549322033513</v>
      </c>
      <c r="E32" s="104">
        <v>0.20235290091565497</v>
      </c>
      <c r="F32" s="104">
        <v>0.22093614758030169</v>
      </c>
      <c r="G32" s="104">
        <v>0.29782803842018818</v>
      </c>
      <c r="H32" s="214">
        <f>+AVERAGE(B32:G32)</f>
        <v>0.23282604376037228</v>
      </c>
    </row>
    <row r="33" spans="1:8">
      <c r="A33" s="63" t="s">
        <v>125</v>
      </c>
      <c r="B33" s="217">
        <v>0.57765919716871073</v>
      </c>
      <c r="C33" s="217">
        <v>0.61476819276110639</v>
      </c>
      <c r="D33" s="217">
        <v>0.6333254450042044</v>
      </c>
      <c r="E33" s="217">
        <v>0.58562217433602259</v>
      </c>
      <c r="F33" s="217">
        <v>0.46611706324449254</v>
      </c>
      <c r="G33" s="217">
        <f>55.5562824272242%-G38</f>
        <v>0.55556282427224202</v>
      </c>
      <c r="H33" s="214">
        <f t="shared" ref="H33:H38" si="5">+AVERAGE(B33:G33)</f>
        <v>0.57217581613112978</v>
      </c>
    </row>
    <row r="34" spans="1:8">
      <c r="A34" s="63" t="s">
        <v>404</v>
      </c>
      <c r="B34" s="217">
        <v>2.9449606740194579E-2</v>
      </c>
      <c r="C34" s="217">
        <v>3.0953749296604077E-2</v>
      </c>
      <c r="D34" s="217">
        <v>2.6262753750153325E-2</v>
      </c>
      <c r="E34" s="217">
        <v>2.6049558216924142E-2</v>
      </c>
      <c r="F34" s="217">
        <v>3.3169965887807899E-2</v>
      </c>
      <c r="G34" s="217">
        <v>4.5965902101189275E-2</v>
      </c>
      <c r="H34" s="214">
        <f t="shared" si="5"/>
        <v>3.1975255998812215E-2</v>
      </c>
    </row>
    <row r="35" spans="1:8">
      <c r="A35" s="63" t="s">
        <v>127</v>
      </c>
      <c r="B35" s="217">
        <v>1.0486124840424478E-2</v>
      </c>
      <c r="C35" s="217">
        <v>7.8259287610116766E-3</v>
      </c>
      <c r="D35" s="217">
        <v>8.7063377493181594E-3</v>
      </c>
      <c r="E35" s="217">
        <v>9.4105320583867808E-3</v>
      </c>
      <c r="F35" s="217">
        <v>1.1975594591223108E-2</v>
      </c>
      <c r="G35" s="217">
        <v>1.349319111174194E-2</v>
      </c>
      <c r="H35" s="214">
        <f t="shared" si="5"/>
        <v>1.0316284852017689E-2</v>
      </c>
    </row>
    <row r="36" spans="1:8">
      <c r="A36" s="63" t="s">
        <v>128</v>
      </c>
      <c r="B36" s="217">
        <v>9.3047682105292101E-2</v>
      </c>
      <c r="C36" s="217">
        <v>9.6107677111302914E-2</v>
      </c>
      <c r="D36" s="217">
        <v>7.8844340323969558E-2</v>
      </c>
      <c r="E36" s="217">
        <v>0.12741033825004772</v>
      </c>
      <c r="F36" s="217">
        <v>0.15448809555329254</v>
      </c>
      <c r="G36" s="217">
        <v>8.5201275684868114E-2</v>
      </c>
      <c r="H36" s="214">
        <f t="shared" si="5"/>
        <v>0.10584990150479549</v>
      </c>
    </row>
    <row r="37" spans="1:8">
      <c r="A37" s="63" t="s">
        <v>416</v>
      </c>
      <c r="B37" s="217">
        <v>3.0649598069513073E-3</v>
      </c>
      <c r="C37" s="217">
        <v>4.5080678006576358E-3</v>
      </c>
      <c r="D37" s="217">
        <v>5.0177817261886264E-3</v>
      </c>
      <c r="E37" s="217">
        <v>2.9673375379526967E-3</v>
      </c>
      <c r="F37" s="217">
        <v>2.1640734083269281E-3</v>
      </c>
      <c r="G37" s="217">
        <v>1.9487684097702512E-3</v>
      </c>
      <c r="H37" s="214">
        <f t="shared" si="5"/>
        <v>3.2784981149745745E-3</v>
      </c>
    </row>
    <row r="38" spans="1:8">
      <c r="A38" s="63" t="s">
        <v>130</v>
      </c>
      <c r="B38" s="217">
        <v>6.2414754002850424E-2</v>
      </c>
      <c r="C38" s="217">
        <v>2.0230377179139711E-2</v>
      </c>
      <c r="D38" s="217">
        <v>2.1487848225830788E-2</v>
      </c>
      <c r="E38" s="217">
        <v>4.6187158685011193E-2</v>
      </c>
      <c r="F38" s="217">
        <v>0.11114905973455512</v>
      </c>
      <c r="G38" s="217">
        <v>0</v>
      </c>
      <c r="H38" s="214">
        <f t="shared" si="5"/>
        <v>4.3578199637897878E-2</v>
      </c>
    </row>
    <row r="39" spans="1:8">
      <c r="A39" s="216" t="s">
        <v>150</v>
      </c>
      <c r="B39" s="214">
        <f t="shared" ref="B39:H39" si="6">SUM(B32:B38)</f>
        <v>0.99999999999999978</v>
      </c>
      <c r="C39" s="214">
        <f t="shared" si="6"/>
        <v>0.99999999999999989</v>
      </c>
      <c r="D39" s="214">
        <f t="shared" si="6"/>
        <v>1</v>
      </c>
      <c r="E39" s="214">
        <f t="shared" si="6"/>
        <v>1</v>
      </c>
      <c r="F39" s="214">
        <f t="shared" si="6"/>
        <v>0.99999999999999978</v>
      </c>
      <c r="G39" s="214">
        <f t="shared" si="6"/>
        <v>0.99999999999999978</v>
      </c>
      <c r="H39" s="214">
        <f t="shared" si="6"/>
        <v>1</v>
      </c>
    </row>
  </sheetData>
  <pageMargins left="0.31496062992125984" right="0.31496062992125984" top="0.74803149606299213" bottom="0.55118110236220474" header="0.31496062992125984" footer="0.31496062992125984"/>
  <pageSetup paperSize="9" scale="66" orientation="portrait" r:id="rId1"/>
  <headerFooter scaleWithDoc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42"/>
  <sheetViews>
    <sheetView zoomScale="130" zoomScaleNormal="130" workbookViewId="0">
      <selection activeCell="A18" sqref="A18:I20"/>
    </sheetView>
  </sheetViews>
  <sheetFormatPr defaultColWidth="14.28515625" defaultRowHeight="15.75"/>
  <cols>
    <col min="1" max="1" width="14.28515625" style="10"/>
    <col min="2" max="17" width="14.28515625" style="10" customWidth="1"/>
    <col min="18" max="16384" width="14.28515625" style="10"/>
  </cols>
  <sheetData>
    <row r="1" spans="1:20">
      <c r="A1" s="481" t="s">
        <v>642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22"/>
      <c r="O1" s="22"/>
      <c r="P1" s="22"/>
      <c r="Q1" s="22"/>
      <c r="R1" s="22"/>
      <c r="S1" s="22"/>
      <c r="T1" s="22"/>
    </row>
    <row r="2" spans="1:20">
      <c r="A2" s="400"/>
      <c r="B2" s="400" t="s">
        <v>426</v>
      </c>
      <c r="C2" s="400"/>
      <c r="D2" s="400"/>
      <c r="E2" s="400" t="s">
        <v>427</v>
      </c>
      <c r="F2" s="400"/>
      <c r="G2" s="400"/>
      <c r="H2" s="400" t="s">
        <v>428</v>
      </c>
      <c r="I2" s="400"/>
      <c r="J2" s="400"/>
      <c r="K2" s="400" t="s">
        <v>429</v>
      </c>
      <c r="L2" s="400"/>
      <c r="M2" s="400"/>
      <c r="N2" s="400" t="s">
        <v>150</v>
      </c>
      <c r="O2" s="400"/>
      <c r="P2" s="400"/>
      <c r="Q2" s="140" t="s">
        <v>430</v>
      </c>
      <c r="R2" s="479" t="s">
        <v>431</v>
      </c>
    </row>
    <row r="3" spans="1:20">
      <c r="A3" s="400"/>
      <c r="B3" s="140">
        <f>Rok-4</f>
        <v>2020</v>
      </c>
      <c r="C3" s="140">
        <f>Rok-3</f>
        <v>2021</v>
      </c>
      <c r="D3" s="140">
        <f>Rok-2</f>
        <v>2022</v>
      </c>
      <c r="E3" s="140">
        <f>Rok-4</f>
        <v>2020</v>
      </c>
      <c r="F3" s="140">
        <f>Rok-3</f>
        <v>2021</v>
      </c>
      <c r="G3" s="140">
        <f>Rok-2</f>
        <v>2022</v>
      </c>
      <c r="H3" s="140">
        <f>Rok-4</f>
        <v>2020</v>
      </c>
      <c r="I3" s="140">
        <f>Rok-3</f>
        <v>2021</v>
      </c>
      <c r="J3" s="140">
        <f>Rok-2</f>
        <v>2022</v>
      </c>
      <c r="K3" s="140">
        <f>Rok-4</f>
        <v>2020</v>
      </c>
      <c r="L3" s="140">
        <f>Rok-3</f>
        <v>2021</v>
      </c>
      <c r="M3" s="140">
        <f>Rok-2</f>
        <v>2022</v>
      </c>
      <c r="N3" s="140">
        <f>Rok-4</f>
        <v>2020</v>
      </c>
      <c r="O3" s="140">
        <f>Rok-3</f>
        <v>2021</v>
      </c>
      <c r="P3" s="140">
        <f>Rok-2</f>
        <v>2022</v>
      </c>
      <c r="Q3" s="140" t="s">
        <v>638</v>
      </c>
      <c r="R3" s="480"/>
    </row>
    <row r="4" spans="1:20">
      <c r="A4" s="220" t="s">
        <v>124</v>
      </c>
      <c r="B4" s="221">
        <v>392211</v>
      </c>
      <c r="C4" s="221">
        <v>404572</v>
      </c>
      <c r="D4" s="221">
        <v>414052</v>
      </c>
      <c r="E4" s="221">
        <v>93737</v>
      </c>
      <c r="F4" s="221">
        <v>88986</v>
      </c>
      <c r="G4" s="221">
        <v>87355</v>
      </c>
      <c r="H4" s="222">
        <v>739732</v>
      </c>
      <c r="I4" s="222">
        <v>966958</v>
      </c>
      <c r="J4" s="222">
        <v>315815</v>
      </c>
      <c r="K4" s="222">
        <v>94092.28</v>
      </c>
      <c r="L4" s="222">
        <v>105407.26000000001</v>
      </c>
      <c r="M4" s="222">
        <v>28116.66</v>
      </c>
      <c r="N4" s="222">
        <f>B4+E4+H4+K4</f>
        <v>1319772.28</v>
      </c>
      <c r="O4" s="222">
        <f>C4+F4+I4+L4</f>
        <v>1565923.26</v>
      </c>
      <c r="P4" s="222">
        <f>D4+G4+J4+M4</f>
        <v>845338.66</v>
      </c>
      <c r="Q4" s="222">
        <f>SUM(N4:P4)</f>
        <v>3731034.2</v>
      </c>
      <c r="R4" s="223">
        <f>Q4/SUM(Q$4:Q$10)</f>
        <v>0.34697478886252203</v>
      </c>
    </row>
    <row r="5" spans="1:20">
      <c r="A5" s="220" t="s">
        <v>125</v>
      </c>
      <c r="B5" s="221">
        <v>504077</v>
      </c>
      <c r="C5" s="221">
        <v>446742</v>
      </c>
      <c r="D5" s="221">
        <v>445052</v>
      </c>
      <c r="E5" s="221">
        <v>68041</v>
      </c>
      <c r="F5" s="221">
        <v>93006</v>
      </c>
      <c r="G5" s="221">
        <v>90337</v>
      </c>
      <c r="H5" s="222">
        <v>764079</v>
      </c>
      <c r="I5" s="222">
        <v>719943</v>
      </c>
      <c r="J5" s="222">
        <v>789322</v>
      </c>
      <c r="K5" s="222">
        <v>21000</v>
      </c>
      <c r="L5" s="222">
        <v>21000</v>
      </c>
      <c r="M5" s="222">
        <v>43310</v>
      </c>
      <c r="N5" s="222">
        <f t="shared" ref="N5:O11" si="0">B5+E5+H5+K5</f>
        <v>1357197</v>
      </c>
      <c r="O5" s="222">
        <f t="shared" si="0"/>
        <v>1280691</v>
      </c>
      <c r="P5" s="222">
        <f t="shared" ref="P5:P11" si="1">D5+G5+J5+M5</f>
        <v>1368021</v>
      </c>
      <c r="Q5" s="222">
        <f t="shared" ref="Q5:Q11" si="2">SUM(N5:P5)</f>
        <v>4005909</v>
      </c>
      <c r="R5" s="223">
        <f t="shared" ref="R5:R10" si="3">Q5/SUM(Q$4:Q$10)</f>
        <v>0.37253730600418422</v>
      </c>
    </row>
    <row r="6" spans="1:20">
      <c r="A6" s="220" t="s">
        <v>126</v>
      </c>
      <c r="B6" s="221">
        <v>62780</v>
      </c>
      <c r="C6" s="221">
        <v>74260</v>
      </c>
      <c r="D6" s="221">
        <v>75943</v>
      </c>
      <c r="E6" s="221">
        <v>0</v>
      </c>
      <c r="F6" s="221">
        <v>0</v>
      </c>
      <c r="G6" s="221">
        <v>0</v>
      </c>
      <c r="H6" s="222">
        <v>269970</v>
      </c>
      <c r="I6" s="222">
        <v>328279</v>
      </c>
      <c r="J6" s="222">
        <v>295930</v>
      </c>
      <c r="K6" s="222">
        <v>0</v>
      </c>
      <c r="L6" s="222">
        <v>0</v>
      </c>
      <c r="M6" s="222">
        <v>0</v>
      </c>
      <c r="N6" s="222">
        <f t="shared" si="0"/>
        <v>332750</v>
      </c>
      <c r="O6" s="222">
        <f t="shared" si="0"/>
        <v>402539</v>
      </c>
      <c r="P6" s="222">
        <f t="shared" si="1"/>
        <v>371873</v>
      </c>
      <c r="Q6" s="222">
        <f t="shared" si="2"/>
        <v>1107162</v>
      </c>
      <c r="R6" s="223">
        <f t="shared" si="3"/>
        <v>0.10296268557029244</v>
      </c>
    </row>
    <row r="7" spans="1:20">
      <c r="A7" s="220" t="s">
        <v>127</v>
      </c>
      <c r="B7" s="221">
        <v>12722</v>
      </c>
      <c r="C7" s="221">
        <v>25025</v>
      </c>
      <c r="D7" s="221">
        <v>32578</v>
      </c>
      <c r="E7" s="221">
        <v>0</v>
      </c>
      <c r="F7" s="221">
        <v>0</v>
      </c>
      <c r="G7" s="221">
        <v>0</v>
      </c>
      <c r="H7" s="222">
        <v>0</v>
      </c>
      <c r="I7" s="222">
        <v>0</v>
      </c>
      <c r="J7" s="222">
        <v>0</v>
      </c>
      <c r="K7" s="222">
        <v>0</v>
      </c>
      <c r="L7" s="222">
        <v>0</v>
      </c>
      <c r="M7" s="222">
        <v>0</v>
      </c>
      <c r="N7" s="222">
        <f t="shared" si="0"/>
        <v>12722</v>
      </c>
      <c r="O7" s="222">
        <f t="shared" si="0"/>
        <v>25025</v>
      </c>
      <c r="P7" s="222">
        <f t="shared" si="1"/>
        <v>32578</v>
      </c>
      <c r="Q7" s="222">
        <f t="shared" si="2"/>
        <v>70325</v>
      </c>
      <c r="R7" s="223">
        <f t="shared" si="3"/>
        <v>6.5400102809984586E-3</v>
      </c>
    </row>
    <row r="8" spans="1:20">
      <c r="A8" s="220" t="s">
        <v>128</v>
      </c>
      <c r="B8" s="221">
        <v>83445</v>
      </c>
      <c r="C8" s="221">
        <v>97064</v>
      </c>
      <c r="D8" s="221">
        <v>102662</v>
      </c>
      <c r="E8" s="221">
        <v>17662</v>
      </c>
      <c r="F8" s="221">
        <v>28767</v>
      </c>
      <c r="G8" s="221">
        <v>29107</v>
      </c>
      <c r="H8" s="222">
        <v>245566</v>
      </c>
      <c r="I8" s="222">
        <v>250520</v>
      </c>
      <c r="J8" s="222">
        <v>249965</v>
      </c>
      <c r="K8" s="222">
        <v>0</v>
      </c>
      <c r="L8" s="222">
        <v>0</v>
      </c>
      <c r="M8" s="222">
        <v>11000</v>
      </c>
      <c r="N8" s="222">
        <f t="shared" si="0"/>
        <v>346673</v>
      </c>
      <c r="O8" s="222">
        <f t="shared" si="0"/>
        <v>376351</v>
      </c>
      <c r="P8" s="222">
        <f t="shared" si="1"/>
        <v>392734</v>
      </c>
      <c r="Q8" s="222">
        <f t="shared" si="2"/>
        <v>1115758</v>
      </c>
      <c r="R8" s="223">
        <f t="shared" si="3"/>
        <v>0.10376208732465379</v>
      </c>
    </row>
    <row r="9" spans="1:20">
      <c r="A9" s="220" t="s">
        <v>664</v>
      </c>
      <c r="B9" s="221">
        <v>0</v>
      </c>
      <c r="C9" s="221">
        <v>0</v>
      </c>
      <c r="D9" s="221">
        <v>6915</v>
      </c>
      <c r="E9" s="221">
        <v>0</v>
      </c>
      <c r="F9" s="221">
        <v>0</v>
      </c>
      <c r="G9" s="221">
        <v>0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2">
        <v>0</v>
      </c>
      <c r="N9" s="222">
        <f t="shared" si="0"/>
        <v>0</v>
      </c>
      <c r="O9" s="222">
        <f t="shared" si="0"/>
        <v>0</v>
      </c>
      <c r="P9" s="222">
        <f t="shared" si="1"/>
        <v>6915</v>
      </c>
      <c r="Q9" s="222">
        <f t="shared" si="2"/>
        <v>6915</v>
      </c>
      <c r="R9" s="223">
        <f t="shared" si="3"/>
        <v>6.4307388685537633E-4</v>
      </c>
    </row>
    <row r="10" spans="1:20">
      <c r="A10" s="220" t="s">
        <v>130</v>
      </c>
      <c r="B10" s="221">
        <v>67535</v>
      </c>
      <c r="C10" s="221">
        <v>44006</v>
      </c>
      <c r="D10" s="221">
        <v>67567</v>
      </c>
      <c r="E10" s="221">
        <v>0</v>
      </c>
      <c r="F10" s="221">
        <v>16245</v>
      </c>
      <c r="G10" s="221">
        <v>14141</v>
      </c>
      <c r="H10" s="222">
        <v>168800</v>
      </c>
      <c r="I10" s="222">
        <v>182856</v>
      </c>
      <c r="J10" s="222">
        <v>144788</v>
      </c>
      <c r="K10" s="222">
        <v>10000</v>
      </c>
      <c r="L10" s="222">
        <v>0</v>
      </c>
      <c r="M10" s="222">
        <v>0</v>
      </c>
      <c r="N10" s="222">
        <f t="shared" si="0"/>
        <v>246335</v>
      </c>
      <c r="O10" s="222">
        <f t="shared" si="0"/>
        <v>243107</v>
      </c>
      <c r="P10" s="222">
        <f>D10+G10+J10+M10</f>
        <v>226496</v>
      </c>
      <c r="Q10" s="222">
        <f t="shared" si="2"/>
        <v>715938</v>
      </c>
      <c r="R10" s="223">
        <f t="shared" si="3"/>
        <v>6.658004807049378E-2</v>
      </c>
    </row>
    <row r="11" spans="1:20">
      <c r="A11" s="220" t="s">
        <v>429</v>
      </c>
      <c r="B11" s="221">
        <v>0</v>
      </c>
      <c r="C11" s="221">
        <v>0</v>
      </c>
      <c r="D11" s="221"/>
      <c r="E11" s="221">
        <v>0</v>
      </c>
      <c r="F11" s="221">
        <v>0</v>
      </c>
      <c r="G11" s="221"/>
      <c r="H11" s="222">
        <v>0</v>
      </c>
      <c r="I11" s="222">
        <v>0</v>
      </c>
      <c r="J11" s="222"/>
      <c r="K11" s="222">
        <v>0</v>
      </c>
      <c r="L11" s="222">
        <v>0</v>
      </c>
      <c r="M11" s="222"/>
      <c r="N11" s="222">
        <f t="shared" si="0"/>
        <v>0</v>
      </c>
      <c r="O11" s="222">
        <f t="shared" si="0"/>
        <v>0</v>
      </c>
      <c r="P11" s="222">
        <f t="shared" si="1"/>
        <v>0</v>
      </c>
      <c r="Q11" s="222">
        <f t="shared" si="2"/>
        <v>0</v>
      </c>
      <c r="R11" s="223"/>
    </row>
    <row r="12" spans="1:20">
      <c r="A12" s="220" t="s">
        <v>150</v>
      </c>
      <c r="B12" s="224">
        <f t="shared" ref="B12:R12" si="4">SUM(B4:B11)</f>
        <v>1122770</v>
      </c>
      <c r="C12" s="224">
        <f t="shared" si="4"/>
        <v>1091669</v>
      </c>
      <c r="D12" s="224">
        <f t="shared" si="4"/>
        <v>1144769</v>
      </c>
      <c r="E12" s="224">
        <f t="shared" si="4"/>
        <v>179440</v>
      </c>
      <c r="F12" s="224">
        <f t="shared" si="4"/>
        <v>227004</v>
      </c>
      <c r="G12" s="224">
        <f t="shared" si="4"/>
        <v>220940</v>
      </c>
      <c r="H12" s="224">
        <f t="shared" si="4"/>
        <v>2188147</v>
      </c>
      <c r="I12" s="224">
        <f t="shared" si="4"/>
        <v>2448556</v>
      </c>
      <c r="J12" s="224">
        <f t="shared" si="4"/>
        <v>1795820</v>
      </c>
      <c r="K12" s="224">
        <f t="shared" si="4"/>
        <v>125092.28</v>
      </c>
      <c r="L12" s="224">
        <f t="shared" si="4"/>
        <v>126407.26000000001</v>
      </c>
      <c r="M12" s="224">
        <f t="shared" si="4"/>
        <v>82426.66</v>
      </c>
      <c r="N12" s="224">
        <f t="shared" si="4"/>
        <v>3615449.2800000003</v>
      </c>
      <c r="O12" s="224">
        <f t="shared" si="4"/>
        <v>3893636.26</v>
      </c>
      <c r="P12" s="224">
        <f t="shared" si="4"/>
        <v>3243955.66</v>
      </c>
      <c r="Q12" s="224">
        <f t="shared" si="4"/>
        <v>10753041.199999999</v>
      </c>
      <c r="R12" s="225">
        <f t="shared" si="4"/>
        <v>1</v>
      </c>
    </row>
    <row r="13" spans="1:20">
      <c r="A13" s="342" t="s">
        <v>701</v>
      </c>
      <c r="B13" s="40">
        <v>1122770</v>
      </c>
      <c r="C13" s="40">
        <v>1091669</v>
      </c>
      <c r="D13" s="40">
        <v>1144769</v>
      </c>
      <c r="E13" s="40">
        <v>179440</v>
      </c>
      <c r="F13" s="40">
        <v>227004</v>
      </c>
      <c r="G13" s="40">
        <v>220940</v>
      </c>
      <c r="H13" s="40">
        <v>2188147</v>
      </c>
      <c r="I13" s="40">
        <v>2448556</v>
      </c>
      <c r="J13" s="40">
        <v>1795820</v>
      </c>
      <c r="K13" s="40">
        <v>125092.28</v>
      </c>
      <c r="L13" s="40">
        <v>126407.26</v>
      </c>
      <c r="M13" s="40">
        <v>82426.66</v>
      </c>
      <c r="N13" s="40">
        <v>3615449</v>
      </c>
      <c r="O13" s="40">
        <v>3893636.26</v>
      </c>
      <c r="P13" s="40">
        <v>3243955.66</v>
      </c>
      <c r="Q13" s="40">
        <v>10753040.92</v>
      </c>
    </row>
    <row r="14" spans="1:20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2" t="s">
        <v>643</v>
      </c>
      <c r="O14" s="482"/>
      <c r="P14" s="482"/>
      <c r="Q14" s="482"/>
    </row>
    <row r="15" spans="1:20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20" ht="33.75" customHeight="1">
      <c r="A16" s="483" t="s">
        <v>639</v>
      </c>
      <c r="B16" s="483"/>
      <c r="C16" s="483"/>
      <c r="D16" s="483"/>
      <c r="E16" s="483"/>
      <c r="F16" s="483"/>
      <c r="G16" s="483"/>
      <c r="H16" s="28"/>
      <c r="I16" s="28"/>
      <c r="J16" s="483" t="s">
        <v>641</v>
      </c>
      <c r="K16" s="483"/>
      <c r="L16" s="483"/>
      <c r="M16" s="483"/>
      <c r="N16" s="483"/>
      <c r="O16" s="483"/>
      <c r="P16" s="483"/>
    </row>
    <row r="17" spans="1:17" s="6" customFormat="1" ht="31.5">
      <c r="A17" s="166"/>
      <c r="B17" s="166">
        <f>Rok-4</f>
        <v>2020</v>
      </c>
      <c r="C17" s="166">
        <f>Rok-3</f>
        <v>2021</v>
      </c>
      <c r="D17" s="166">
        <f>Rok-2</f>
        <v>2022</v>
      </c>
      <c r="E17" s="340" t="s">
        <v>430</v>
      </c>
      <c r="F17" s="175" t="s">
        <v>50</v>
      </c>
      <c r="I17" s="166"/>
      <c r="J17" s="166" t="str">
        <f>Rok-4&amp;" ERASMUS"</f>
        <v>2020 ERASMUS</v>
      </c>
      <c r="K17" s="166" t="str">
        <f>Rok-4&amp;" Iné"</f>
        <v>2020 Iné</v>
      </c>
      <c r="L17" s="166" t="str">
        <f>Rok-3&amp;" ERASMUS"</f>
        <v>2021 ERASMUS</v>
      </c>
      <c r="M17" s="166" t="str">
        <f>Rok-3&amp;" Iné"</f>
        <v>2021 Iné</v>
      </c>
      <c r="N17" s="166" t="str">
        <f>Rok-2&amp;" ERASMUS"</f>
        <v>2022 ERASMUS</v>
      </c>
      <c r="O17" s="166" t="str">
        <f>Rok-2&amp;" Iné"</f>
        <v>2022 Iné</v>
      </c>
      <c r="P17" s="166" t="s">
        <v>430</v>
      </c>
      <c r="Q17" s="175" t="s">
        <v>50</v>
      </c>
    </row>
    <row r="18" spans="1:17">
      <c r="A18" s="220" t="s">
        <v>124</v>
      </c>
      <c r="B18" s="222">
        <v>4954.58</v>
      </c>
      <c r="C18" s="222">
        <v>230551.54</v>
      </c>
      <c r="D18" s="222">
        <v>144997.5</v>
      </c>
      <c r="E18" s="341">
        <f>SUM(B18:D18)</f>
        <v>380503.62</v>
      </c>
      <c r="F18" s="223">
        <f t="shared" ref="F18:F24" si="5">E18/SUM(E$18:E$24)</f>
        <v>0.24057048386053267</v>
      </c>
      <c r="I18" s="220" t="s">
        <v>124</v>
      </c>
      <c r="J18" s="221"/>
      <c r="K18" s="221">
        <v>144727</v>
      </c>
      <c r="L18" s="221"/>
      <c r="M18" s="221">
        <v>31978</v>
      </c>
      <c r="N18" s="221"/>
      <c r="O18" s="221">
        <v>6993.41</v>
      </c>
      <c r="P18" s="222">
        <f>SUM(J18:O18)</f>
        <v>183698.41</v>
      </c>
      <c r="Q18" s="223">
        <f t="shared" ref="Q18:Q23" si="6">P18/SUM(P$18:P$23)</f>
        <v>0.39803785357583876</v>
      </c>
    </row>
    <row r="19" spans="1:17">
      <c r="A19" s="220" t="s">
        <v>125</v>
      </c>
      <c r="B19" s="222">
        <v>191333.91</v>
      </c>
      <c r="C19" s="222">
        <v>127065.4</v>
      </c>
      <c r="D19" s="222">
        <v>330932.609</v>
      </c>
      <c r="E19" s="341">
        <f t="shared" ref="E19:E25" si="7">SUM(B19:D19)</f>
        <v>649331.91899999999</v>
      </c>
      <c r="F19" s="223">
        <f t="shared" si="5"/>
        <v>0.41053510592072212</v>
      </c>
      <c r="I19" s="220" t="s">
        <v>125</v>
      </c>
      <c r="J19" s="221"/>
      <c r="K19" s="221">
        <v>30500</v>
      </c>
      <c r="L19" s="221"/>
      <c r="M19" s="221">
        <v>31038</v>
      </c>
      <c r="N19" s="221"/>
      <c r="O19" s="221">
        <v>93988.99</v>
      </c>
      <c r="P19" s="222">
        <f t="shared" ref="P19:P25" si="8">SUM(J19:O19)</f>
        <v>155526.99</v>
      </c>
      <c r="Q19" s="223">
        <f t="shared" si="6"/>
        <v>0.33699599943576503</v>
      </c>
    </row>
    <row r="20" spans="1:17">
      <c r="A20" s="220" t="s">
        <v>126</v>
      </c>
      <c r="B20" s="222">
        <v>0</v>
      </c>
      <c r="C20" s="222">
        <v>0</v>
      </c>
      <c r="D20" s="222">
        <v>20808.664999999994</v>
      </c>
      <c r="E20" s="341">
        <f t="shared" si="7"/>
        <v>20808.664999999994</v>
      </c>
      <c r="F20" s="223">
        <f t="shared" si="5"/>
        <v>1.3156118219168926E-2</v>
      </c>
      <c r="I20" s="220" t="s">
        <v>126</v>
      </c>
      <c r="J20" s="221"/>
      <c r="K20" s="221">
        <v>0</v>
      </c>
      <c r="L20" s="221"/>
      <c r="M20" s="221">
        <v>0</v>
      </c>
      <c r="N20" s="221"/>
      <c r="O20" s="221">
        <v>0</v>
      </c>
      <c r="P20" s="222">
        <f t="shared" si="8"/>
        <v>0</v>
      </c>
      <c r="Q20" s="223">
        <f t="shared" si="6"/>
        <v>0</v>
      </c>
    </row>
    <row r="21" spans="1:17">
      <c r="A21" s="220" t="s">
        <v>127</v>
      </c>
      <c r="B21" s="222">
        <v>0</v>
      </c>
      <c r="C21" s="222">
        <v>0</v>
      </c>
      <c r="D21" s="222">
        <v>3000</v>
      </c>
      <c r="E21" s="341">
        <f t="shared" si="7"/>
        <v>3000</v>
      </c>
      <c r="F21" s="223">
        <f t="shared" si="5"/>
        <v>1.8967268999480163E-3</v>
      </c>
      <c r="I21" s="220" t="s">
        <v>127</v>
      </c>
      <c r="J21" s="221"/>
      <c r="K21" s="221">
        <v>0</v>
      </c>
      <c r="L21" s="221"/>
      <c r="M21" s="221">
        <v>59139.6</v>
      </c>
      <c r="N21" s="221"/>
      <c r="O21" s="221">
        <v>47455.9</v>
      </c>
      <c r="P21" s="222">
        <f t="shared" si="8"/>
        <v>106595.5</v>
      </c>
      <c r="Q21" s="223">
        <f t="shared" si="6"/>
        <v>0.23097120993504147</v>
      </c>
    </row>
    <row r="22" spans="1:17">
      <c r="A22" s="220" t="s">
        <v>128</v>
      </c>
      <c r="B22" s="222">
        <v>57467.05</v>
      </c>
      <c r="C22" s="222">
        <v>0</v>
      </c>
      <c r="D22" s="222">
        <v>108468.34</v>
      </c>
      <c r="E22" s="341">
        <f t="shared" si="7"/>
        <v>165935.39000000001</v>
      </c>
      <c r="F22" s="223">
        <f t="shared" si="5"/>
        <v>0.1049113726221217</v>
      </c>
      <c r="I22" s="220" t="s">
        <v>128</v>
      </c>
      <c r="J22" s="221"/>
      <c r="K22" s="221">
        <v>9800</v>
      </c>
      <c r="L22" s="221"/>
      <c r="M22" s="221">
        <v>0</v>
      </c>
      <c r="N22" s="221"/>
      <c r="O22" s="221">
        <v>3925</v>
      </c>
      <c r="P22" s="222">
        <f t="shared" si="8"/>
        <v>13725</v>
      </c>
      <c r="Q22" s="223">
        <f t="shared" si="6"/>
        <v>2.9739340369513197E-2</v>
      </c>
    </row>
    <row r="23" spans="1:17">
      <c r="A23" s="220" t="s">
        <v>664</v>
      </c>
      <c r="B23" s="222">
        <v>0</v>
      </c>
      <c r="C23" s="222">
        <v>0</v>
      </c>
      <c r="D23" s="222">
        <v>0</v>
      </c>
      <c r="E23" s="341">
        <f t="shared" si="7"/>
        <v>0</v>
      </c>
      <c r="F23" s="223">
        <f t="shared" si="5"/>
        <v>0</v>
      </c>
      <c r="I23" s="220" t="s">
        <v>664</v>
      </c>
      <c r="J23" s="221"/>
      <c r="K23" s="221">
        <v>0</v>
      </c>
      <c r="L23" s="221"/>
      <c r="M23" s="221">
        <v>0</v>
      </c>
      <c r="N23" s="221"/>
      <c r="O23" s="221">
        <v>1964</v>
      </c>
      <c r="P23" s="222">
        <f t="shared" si="8"/>
        <v>1964</v>
      </c>
      <c r="Q23" s="223">
        <f t="shared" si="6"/>
        <v>4.2555966838414517E-3</v>
      </c>
    </row>
    <row r="24" spans="1:17">
      <c r="A24" s="220" t="s">
        <v>130</v>
      </c>
      <c r="B24" s="222">
        <v>323296.88</v>
      </c>
      <c r="C24" s="222">
        <v>0</v>
      </c>
      <c r="D24" s="222">
        <v>38795.616000000002</v>
      </c>
      <c r="E24" s="341">
        <f t="shared" si="7"/>
        <v>362092.49599999998</v>
      </c>
      <c r="F24" s="223">
        <f t="shared" si="5"/>
        <v>0.22893019247750648</v>
      </c>
      <c r="I24" s="220" t="s">
        <v>130</v>
      </c>
      <c r="J24" s="221"/>
      <c r="K24" s="221">
        <v>0</v>
      </c>
      <c r="L24" s="221"/>
      <c r="M24" s="221">
        <v>0</v>
      </c>
      <c r="N24" s="221"/>
      <c r="O24" s="221">
        <v>0</v>
      </c>
      <c r="P24" s="222">
        <f t="shared" si="8"/>
        <v>0</v>
      </c>
      <c r="Q24" s="223"/>
    </row>
    <row r="25" spans="1:17">
      <c r="A25" s="220" t="s">
        <v>429</v>
      </c>
      <c r="B25" s="222">
        <v>0</v>
      </c>
      <c r="C25" s="222">
        <v>0</v>
      </c>
      <c r="D25" s="222"/>
      <c r="E25" s="341">
        <f t="shared" si="7"/>
        <v>0</v>
      </c>
      <c r="F25" s="223"/>
      <c r="I25" s="220" t="s">
        <v>429</v>
      </c>
      <c r="J25" s="221"/>
      <c r="K25" s="221">
        <v>0</v>
      </c>
      <c r="L25" s="221">
        <v>580127</v>
      </c>
      <c r="M25" s="221">
        <v>0</v>
      </c>
      <c r="N25" s="221">
        <v>1086425.49</v>
      </c>
      <c r="O25" s="221"/>
      <c r="P25" s="222">
        <f t="shared" si="8"/>
        <v>1666552.49</v>
      </c>
      <c r="Q25" s="223"/>
    </row>
    <row r="26" spans="1:17">
      <c r="A26" s="220" t="s">
        <v>150</v>
      </c>
      <c r="B26" s="224">
        <f>SUM(B18:B25)</f>
        <v>577052.41999999993</v>
      </c>
      <c r="C26" s="224">
        <f>SUM(C18:C25)</f>
        <v>357616.94</v>
      </c>
      <c r="D26" s="224">
        <f>SUM(D18:D25)</f>
        <v>647002.73</v>
      </c>
      <c r="E26" s="224">
        <f>SUM(E18:E25)</f>
        <v>1581672.09</v>
      </c>
      <c r="F26" s="223">
        <f>SUM(F18:F25)</f>
        <v>0.99999999999999989</v>
      </c>
      <c r="I26" s="220" t="s">
        <v>150</v>
      </c>
      <c r="J26" s="224">
        <f t="shared" ref="J26:O26" si="9">SUM(J18:J25)</f>
        <v>0</v>
      </c>
      <c r="K26" s="224">
        <f t="shared" si="9"/>
        <v>185027</v>
      </c>
      <c r="L26" s="224">
        <f t="shared" si="9"/>
        <v>580127</v>
      </c>
      <c r="M26" s="224">
        <f t="shared" si="9"/>
        <v>122155.6</v>
      </c>
      <c r="N26" s="224">
        <f t="shared" si="9"/>
        <v>1086425.49</v>
      </c>
      <c r="O26" s="224">
        <f t="shared" si="9"/>
        <v>154327.30000000002</v>
      </c>
      <c r="P26" s="224">
        <f t="shared" ref="P26:Q26" si="10">SUM(P18:P25)</f>
        <v>2128062.39</v>
      </c>
      <c r="Q26" s="223">
        <f t="shared" si="10"/>
        <v>1</v>
      </c>
    </row>
    <row r="27" spans="1:17">
      <c r="A27" s="7" t="s">
        <v>701</v>
      </c>
      <c r="B27" s="40">
        <v>577052.42000000004</v>
      </c>
      <c r="C27" s="40">
        <v>357616.94000000006</v>
      </c>
      <c r="D27" s="40">
        <v>647003</v>
      </c>
      <c r="E27" s="40">
        <v>1581672.36</v>
      </c>
      <c r="I27" s="7" t="s">
        <v>701</v>
      </c>
      <c r="J27" s="40">
        <v>0</v>
      </c>
      <c r="K27" s="40">
        <f>185027-J27</f>
        <v>185027</v>
      </c>
      <c r="L27" s="40">
        <v>580127</v>
      </c>
      <c r="M27" s="40">
        <f>702282.6-L27</f>
        <v>122155.59999999998</v>
      </c>
      <c r="N27" s="40">
        <v>1086425.49</v>
      </c>
      <c r="O27" s="40">
        <f>1240753-N27</f>
        <v>154327.51</v>
      </c>
      <c r="P27" s="40">
        <v>2128062.6</v>
      </c>
    </row>
    <row r="28" spans="1:17">
      <c r="B28" s="482" t="s">
        <v>644</v>
      </c>
      <c r="C28" s="482"/>
      <c r="D28" s="482"/>
      <c r="E28" s="482"/>
      <c r="K28" s="482" t="s">
        <v>645</v>
      </c>
      <c r="L28" s="482"/>
      <c r="M28" s="482"/>
      <c r="N28" s="482"/>
    </row>
    <row r="30" spans="1:17">
      <c r="A30" s="481" t="s">
        <v>640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</row>
    <row r="31" spans="1:17">
      <c r="A31" s="166"/>
      <c r="B31" s="166">
        <f>Rok-4</f>
        <v>2020</v>
      </c>
      <c r="C31" s="140">
        <f>Rok-3</f>
        <v>2021</v>
      </c>
      <c r="D31" s="140">
        <f>Rok-2</f>
        <v>2022</v>
      </c>
      <c r="E31" s="140" t="s">
        <v>430</v>
      </c>
      <c r="F31" s="141" t="s">
        <v>50</v>
      </c>
    </row>
    <row r="32" spans="1:17">
      <c r="A32" s="220" t="s">
        <v>124</v>
      </c>
      <c r="B32" s="222">
        <v>20000</v>
      </c>
      <c r="C32" s="222">
        <v>60000</v>
      </c>
      <c r="D32" s="222">
        <v>60000</v>
      </c>
      <c r="E32" s="222">
        <f>SUM(B32:D32)</f>
        <v>140000</v>
      </c>
      <c r="F32" s="223">
        <f t="shared" ref="F32:F38" si="11">E32/SUM(E$32:E$38)</f>
        <v>0.49254759654539781</v>
      </c>
    </row>
    <row r="33" spans="1:6">
      <c r="A33" s="220" t="s">
        <v>125</v>
      </c>
      <c r="B33" s="222">
        <v>12992</v>
      </c>
      <c r="C33" s="222">
        <v>42462.34</v>
      </c>
      <c r="D33" s="222">
        <v>35323.279999999999</v>
      </c>
      <c r="E33" s="222">
        <f t="shared" ref="E33:E39" si="12">SUM(B33:D33)</f>
        <v>90777.62</v>
      </c>
      <c r="F33" s="223">
        <f t="shared" si="11"/>
        <v>0.31937356107936737</v>
      </c>
    </row>
    <row r="34" spans="1:6">
      <c r="A34" s="220" t="s">
        <v>126</v>
      </c>
      <c r="B34" s="222">
        <v>0</v>
      </c>
      <c r="C34" s="222">
        <v>0</v>
      </c>
      <c r="D34" s="222">
        <v>0</v>
      </c>
      <c r="E34" s="222">
        <f t="shared" si="12"/>
        <v>0</v>
      </c>
      <c r="F34" s="223">
        <f t="shared" si="11"/>
        <v>0</v>
      </c>
    </row>
    <row r="35" spans="1:6">
      <c r="A35" s="220" t="s">
        <v>127</v>
      </c>
      <c r="B35" s="222">
        <v>0</v>
      </c>
      <c r="C35" s="222">
        <v>0</v>
      </c>
      <c r="D35" s="222">
        <v>0</v>
      </c>
      <c r="E35" s="222">
        <f t="shared" si="12"/>
        <v>0</v>
      </c>
      <c r="F35" s="223">
        <f t="shared" si="11"/>
        <v>0</v>
      </c>
    </row>
    <row r="36" spans="1:6">
      <c r="A36" s="220" t="s">
        <v>128</v>
      </c>
      <c r="B36" s="222">
        <v>0</v>
      </c>
      <c r="C36" s="222">
        <v>0</v>
      </c>
      <c r="D36" s="222">
        <v>4364.71</v>
      </c>
      <c r="E36" s="222">
        <f t="shared" si="12"/>
        <v>4364.71</v>
      </c>
      <c r="F36" s="223">
        <f t="shared" si="11"/>
        <v>1.5355910143697596E-2</v>
      </c>
    </row>
    <row r="37" spans="1:6">
      <c r="A37" s="220" t="s">
        <v>664</v>
      </c>
      <c r="B37" s="222">
        <v>0</v>
      </c>
      <c r="C37" s="222">
        <v>0</v>
      </c>
      <c r="D37" s="222">
        <v>0</v>
      </c>
      <c r="E37" s="222">
        <f t="shared" si="12"/>
        <v>0</v>
      </c>
      <c r="F37" s="223">
        <f t="shared" si="11"/>
        <v>0</v>
      </c>
    </row>
    <row r="38" spans="1:6">
      <c r="A38" s="220" t="s">
        <v>130</v>
      </c>
      <c r="B38" s="222">
        <v>12705</v>
      </c>
      <c r="C38" s="222">
        <v>17750</v>
      </c>
      <c r="D38" s="222">
        <v>18639.16</v>
      </c>
      <c r="E38" s="222">
        <f t="shared" si="12"/>
        <v>49094.16</v>
      </c>
      <c r="F38" s="223">
        <f t="shared" si="11"/>
        <v>0.1727229322315372</v>
      </c>
    </row>
    <row r="39" spans="1:6">
      <c r="A39" s="220" t="s">
        <v>429</v>
      </c>
      <c r="B39" s="222">
        <v>0</v>
      </c>
      <c r="C39" s="222">
        <v>0</v>
      </c>
      <c r="D39" s="222"/>
      <c r="E39" s="222">
        <f t="shared" si="12"/>
        <v>0</v>
      </c>
      <c r="F39" s="223"/>
    </row>
    <row r="40" spans="1:6">
      <c r="A40" s="220" t="s">
        <v>150</v>
      </c>
      <c r="B40" s="224">
        <f>SUM(B32:B39)</f>
        <v>45697</v>
      </c>
      <c r="C40" s="224">
        <f>SUM(C32:C39)</f>
        <v>120212.34</v>
      </c>
      <c r="D40" s="224">
        <f>SUM(D32:D39)</f>
        <v>118327.15000000001</v>
      </c>
      <c r="E40" s="224">
        <f>SUM(E32:E39)</f>
        <v>284236.49</v>
      </c>
      <c r="F40" s="223">
        <f>SUM(F32:F39)</f>
        <v>1</v>
      </c>
    </row>
    <row r="41" spans="1:6">
      <c r="A41" s="7" t="s">
        <v>701</v>
      </c>
      <c r="B41" s="40">
        <v>45697</v>
      </c>
      <c r="C41" s="40">
        <v>120212.34</v>
      </c>
      <c r="D41" s="40">
        <v>118327</v>
      </c>
      <c r="E41" s="40">
        <v>284236.33999999997</v>
      </c>
    </row>
    <row r="42" spans="1:6">
      <c r="B42" s="482"/>
      <c r="C42" s="482"/>
      <c r="D42" s="482"/>
      <c r="E42" s="482"/>
    </row>
  </sheetData>
  <mergeCells count="15">
    <mergeCell ref="A1:M1"/>
    <mergeCell ref="B28:E28"/>
    <mergeCell ref="B2:D2"/>
    <mergeCell ref="E2:G2"/>
    <mergeCell ref="H2:J2"/>
    <mergeCell ref="K2:M2"/>
    <mergeCell ref="R2:R3"/>
    <mergeCell ref="A2:A3"/>
    <mergeCell ref="A30:M30"/>
    <mergeCell ref="B42:E42"/>
    <mergeCell ref="N14:Q14"/>
    <mergeCell ref="N2:P2"/>
    <mergeCell ref="A16:G16"/>
    <mergeCell ref="J16:P16"/>
    <mergeCell ref="K28:N28"/>
  </mergeCells>
  <conditionalFormatting sqref="B27:E27">
    <cfRule type="cellIs" dxfId="21" priority="9" operator="between">
      <formula>B26-0.9</formula>
      <formula>B26+0.9</formula>
    </cfRule>
    <cfRule type="cellIs" dxfId="20" priority="8" operator="equal">
      <formula>B26</formula>
    </cfRule>
  </conditionalFormatting>
  <conditionalFormatting sqref="B41:E41">
    <cfRule type="cellIs" dxfId="19" priority="7" operator="between">
      <formula>B40-0.9</formula>
      <formula>B40+0.9</formula>
    </cfRule>
    <cfRule type="cellIs" dxfId="18" priority="6" operator="equal">
      <formula>B40</formula>
    </cfRule>
  </conditionalFormatting>
  <conditionalFormatting sqref="B13:Q13">
    <cfRule type="cellIs" dxfId="17" priority="13" operator="between">
      <formula>B12-0.9</formula>
      <formula>B12+0.9</formula>
    </cfRule>
  </conditionalFormatting>
  <conditionalFormatting sqref="J27:P27">
    <cfRule type="cellIs" dxfId="16" priority="1" operator="equal">
      <formula>J26</formula>
    </cfRule>
  </conditionalFormatting>
  <conditionalFormatting sqref="K27">
    <cfRule type="cellIs" dxfId="15" priority="4" operator="between">
      <formula>K26-0.9</formula>
      <formula>K26+0.9</formula>
    </cfRule>
  </conditionalFormatting>
  <conditionalFormatting sqref="M27">
    <cfRule type="cellIs" dxfId="14" priority="2" operator="between">
      <formula>M26-0.9</formula>
      <formula>M26+0.9</formula>
    </cfRule>
  </conditionalFormatting>
  <conditionalFormatting sqref="O27:P27">
    <cfRule type="cellIs" dxfId="13" priority="51" operator="between">
      <formula>O26-0.9</formula>
      <formula>O26+0.9</formula>
    </cfRule>
  </conditionalFormatting>
  <hyperlinks>
    <hyperlink ref="B15:M15" r:id="rId1" display="https://www.minedu.sk/uspesnost-domacich-a-zahranicnych-projektov-k-rozpisu-dotacii-na-rok-2020/" xr:uid="{00000000-0004-0000-0F00-000000000000}"/>
    <hyperlink ref="B14:M14" r:id="rId2" display="https://www.minedu.sk/uspesnost-domacich-a-zahranicnych-projektov-k-rozpisu-dotacii-na-rok-2020/" xr:uid="{00000000-0004-0000-0F00-000001000000}"/>
  </hyperlinks>
  <pageMargins left="0.31496062992125984" right="0.31496062992125984" top="0.74803149606299213" bottom="0.55118110236220474" header="0.31496062992125984" footer="0.31496062992125984"/>
  <pageSetup paperSize="9" scale="56" orientation="landscape" r:id="rId3"/>
  <headerFooter scaleWithDoc="0">
    <oddHeader>&amp;R&amp;A</oddHeader>
  </headerFooter>
  <ignoredErrors>
    <ignoredError sqref="D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79"/>
  <sheetViews>
    <sheetView zoomScale="130" zoomScaleNormal="130" workbookViewId="0">
      <selection activeCell="A18" sqref="A18:I20"/>
    </sheetView>
  </sheetViews>
  <sheetFormatPr defaultColWidth="14.28515625" defaultRowHeight="15.75"/>
  <cols>
    <col min="1" max="14" width="14.28515625" style="1" customWidth="1"/>
    <col min="15" max="16" width="14.28515625" style="1"/>
    <col min="17" max="18" width="15.7109375" style="1" bestFit="1" customWidth="1"/>
    <col min="19" max="16384" width="14.28515625" style="1"/>
  </cols>
  <sheetData>
    <row r="1" spans="1:18">
      <c r="A1" s="5" t="s">
        <v>432</v>
      </c>
      <c r="D1" s="1" t="str">
        <f>"(T16-KIVČ - rozpis "&amp;Rok-2&amp;", "&amp;Rok-3&amp;", "&amp;Rok-4&amp;" + výročná správa o stave vš (počet zamestnancov))"</f>
        <v>(T16-KIVČ - rozpis 2022, 2021, 2020 + výročná správa o stave vš (počet zamestnancov))</v>
      </c>
      <c r="M1" s="49">
        <f>0.5*VstupyUPJS!$B11</f>
        <v>0.25</v>
      </c>
      <c r="N1" s="49">
        <f>1*VstupyUPJS!$B11</f>
        <v>0.5</v>
      </c>
    </row>
    <row r="2" spans="1:18" ht="47.25">
      <c r="A2" s="140"/>
      <c r="B2" s="166" t="str">
        <f>"Podiel na vede "&amp;Rok-2&amp;" bez KA"</f>
        <v>Podiel na vede 2022 bez KA</v>
      </c>
      <c r="C2" s="166" t="str">
        <f>"počet AZ "&amp;Rok-2</f>
        <v>počet AZ 2022</v>
      </c>
      <c r="D2" s="140" t="str">
        <f>"Podiel "&amp;Rok-2</f>
        <v>Podiel 2022</v>
      </c>
      <c r="E2" s="166" t="str">
        <f>"Podiel na vede "&amp;Rok-3&amp;" bez KA"</f>
        <v>Podiel na vede 2021 bez KA</v>
      </c>
      <c r="F2" s="166" t="str">
        <f>"počet AZ "&amp;Rok-3</f>
        <v>počet AZ 2021</v>
      </c>
      <c r="G2" s="140" t="str">
        <f>"Podiel "&amp;Rok-3</f>
        <v>Podiel 2021</v>
      </c>
      <c r="H2" s="166" t="str">
        <f>"Podiel na vede "&amp;Rok-4&amp;" bez KA"</f>
        <v>Podiel na vede 2020 bez KA</v>
      </c>
      <c r="I2" s="166" t="str">
        <f>"počet AZ "&amp;Rok-4</f>
        <v>počet AZ 2020</v>
      </c>
      <c r="J2" s="140" t="str">
        <f>"Podiel "&amp;Rok-4</f>
        <v>Podiel 2020</v>
      </c>
      <c r="K2" s="175" t="str">
        <f>"Median 
"&amp;Rok-4&amp;"-"&amp;Rok-2</f>
        <v>Median 
2020-2022</v>
      </c>
      <c r="M2" s="226" t="s">
        <v>433</v>
      </c>
      <c r="N2" s="226" t="s">
        <v>434</v>
      </c>
      <c r="O2" s="166" t="s">
        <v>435</v>
      </c>
      <c r="P2" s="166" t="str">
        <f>"počet AZ "&amp;Rok-2</f>
        <v>počet AZ 2022</v>
      </c>
      <c r="Q2" s="166" t="str">
        <f>"počet AZ "&amp;Rok-3</f>
        <v>počet AZ 2021</v>
      </c>
      <c r="R2" s="166" t="str">
        <f>"počet AZ "&amp;Rok-4</f>
        <v>počet AZ 2020</v>
      </c>
    </row>
    <row r="3" spans="1:18">
      <c r="A3" s="142" t="s">
        <v>124</v>
      </c>
      <c r="B3" s="178">
        <v>0.28781897596123546</v>
      </c>
      <c r="C3" s="227">
        <f>P3+$O3</f>
        <v>411.9</v>
      </c>
      <c r="D3" s="228">
        <f>B3/C3*B$11</f>
        <v>5.6658946382586745E-3</v>
      </c>
      <c r="E3" s="178">
        <v>0.31820123739390838</v>
      </c>
      <c r="F3" s="229">
        <f>Q3+$O3</f>
        <v>395.20000000000005</v>
      </c>
      <c r="G3" s="228">
        <f>E3/F3*E$11</f>
        <v>6.6733370559442888E-3</v>
      </c>
      <c r="H3" s="178">
        <v>0.29483601657044872</v>
      </c>
      <c r="I3" s="227">
        <f>R3+$O3</f>
        <v>384.29999999999995</v>
      </c>
      <c r="J3" s="228">
        <f>H3/I3*H$11</f>
        <v>6.1096738564578833E-3</v>
      </c>
      <c r="K3" s="230">
        <f>MEDIAN(D3,G3,J3)</f>
        <v>6.1096738564578833E-3</v>
      </c>
      <c r="M3" s="163">
        <f>AVERAGE(M$1*$K3/$K$11+1-M$1)</f>
        <v>0.91385992541173633</v>
      </c>
      <c r="N3" s="163">
        <f>AVERAGE(N$1*$K3/$K$11+1-N$1)</f>
        <v>0.82771985082347288</v>
      </c>
      <c r="O3" s="227"/>
      <c r="P3" s="122">
        <f>344.8+67.1</f>
        <v>411.9</v>
      </c>
      <c r="Q3" s="122">
        <v>395.20000000000005</v>
      </c>
      <c r="R3" s="122">
        <v>384.29999999999995</v>
      </c>
    </row>
    <row r="4" spans="1:18">
      <c r="A4" s="142" t="s">
        <v>125</v>
      </c>
      <c r="B4" s="178">
        <v>0.4994706442745242</v>
      </c>
      <c r="C4" s="227">
        <f t="shared" ref="C4:C9" si="0">P4+$O4</f>
        <v>206.8</v>
      </c>
      <c r="D4" s="228">
        <f t="shared" ref="D4:D9" si="1">B4/C4*B$11</f>
        <v>1.9583950209616625E-2</v>
      </c>
      <c r="E4" s="178">
        <v>0.4896624552694584</v>
      </c>
      <c r="F4" s="229">
        <f t="shared" ref="F4:F9" si="2">Q4+$O4</f>
        <v>201.20000000000002</v>
      </c>
      <c r="G4" s="228">
        <f t="shared" ref="G4:G10" si="3">E4/F4*E$11</f>
        <v>2.0170978289666901E-2</v>
      </c>
      <c r="H4" s="178">
        <v>0.4718237281999107</v>
      </c>
      <c r="I4" s="227">
        <f t="shared" ref="I4:I9" si="4">R4+$O4</f>
        <v>198.4</v>
      </c>
      <c r="J4" s="228">
        <f t="shared" ref="J4:J10" si="5">H4/I4*H$11</f>
        <v>1.8938517831605987E-2</v>
      </c>
      <c r="K4" s="230">
        <f t="shared" ref="K4:K10" si="6">MEDIAN(D4,G4,J4)</f>
        <v>1.9583950209616625E-2</v>
      </c>
      <c r="M4" s="163">
        <f t="shared" ref="M4:N10" si="7">AVERAGE(M$1*$K4/$K$11+1-M$1)</f>
        <v>1.2752366486343658</v>
      </c>
      <c r="N4" s="163">
        <f t="shared" si="7"/>
        <v>1.5504732972687316</v>
      </c>
      <c r="O4" s="227"/>
      <c r="P4" s="122">
        <f>146.8+60</f>
        <v>206.8</v>
      </c>
      <c r="Q4" s="122">
        <v>201.20000000000002</v>
      </c>
      <c r="R4" s="122">
        <v>198.4</v>
      </c>
    </row>
    <row r="5" spans="1:18">
      <c r="A5" s="142" t="s">
        <v>126</v>
      </c>
      <c r="B5" s="178">
        <v>3.5141460716615947E-2</v>
      </c>
      <c r="C5" s="227">
        <f t="shared" si="0"/>
        <v>59.3</v>
      </c>
      <c r="D5" s="228">
        <f t="shared" si="1"/>
        <v>4.8051392623300717E-3</v>
      </c>
      <c r="E5" s="178">
        <v>4.6696255619126645E-2</v>
      </c>
      <c r="F5" s="229">
        <f t="shared" si="2"/>
        <v>59.9</v>
      </c>
      <c r="G5" s="228">
        <f t="shared" si="3"/>
        <v>6.4612027273998436E-3</v>
      </c>
      <c r="H5" s="178">
        <v>4.4878430625293952E-2</v>
      </c>
      <c r="I5" s="227">
        <f t="shared" si="4"/>
        <v>56.800000000000004</v>
      </c>
      <c r="J5" s="228">
        <f t="shared" si="5"/>
        <v>6.292122986948495E-3</v>
      </c>
      <c r="K5" s="230">
        <f t="shared" si="6"/>
        <v>6.292122986948495E-3</v>
      </c>
      <c r="M5" s="163">
        <f t="shared" si="7"/>
        <v>0.91875316547921204</v>
      </c>
      <c r="N5" s="163">
        <f t="shared" si="7"/>
        <v>0.83750633095842408</v>
      </c>
      <c r="O5" s="227"/>
      <c r="P5" s="122">
        <f>50.1+9.2</f>
        <v>59.3</v>
      </c>
      <c r="Q5" s="122">
        <v>59.9</v>
      </c>
      <c r="R5" s="122">
        <v>56.800000000000004</v>
      </c>
    </row>
    <row r="6" spans="1:18">
      <c r="A6" s="142" t="s">
        <v>127</v>
      </c>
      <c r="B6" s="178">
        <v>9.9448572266255409E-3</v>
      </c>
      <c r="C6" s="227">
        <f t="shared" si="0"/>
        <v>31.6</v>
      </c>
      <c r="D6" s="228">
        <f t="shared" si="1"/>
        <v>2.5518334880700838E-3</v>
      </c>
      <c r="E6" s="178">
        <v>1.2588189292710444E-2</v>
      </c>
      <c r="F6" s="229">
        <f t="shared" si="2"/>
        <v>29.599999999999998</v>
      </c>
      <c r="G6" s="228">
        <f t="shared" si="3"/>
        <v>3.5247610953959407E-3</v>
      </c>
      <c r="H6" s="178">
        <v>1.2351468416219726E-2</v>
      </c>
      <c r="I6" s="227">
        <f t="shared" si="4"/>
        <v>29.5</v>
      </c>
      <c r="J6" s="228">
        <f t="shared" si="5"/>
        <v>3.3342983175290485E-3</v>
      </c>
      <c r="K6" s="230">
        <f t="shared" si="6"/>
        <v>3.3342983175290485E-3</v>
      </c>
      <c r="M6" s="163">
        <f t="shared" si="7"/>
        <v>0.83942504730154965</v>
      </c>
      <c r="N6" s="163">
        <f t="shared" si="7"/>
        <v>0.67885009460309953</v>
      </c>
      <c r="O6" s="227"/>
      <c r="P6" s="122">
        <f>31.1+0.5</f>
        <v>31.6</v>
      </c>
      <c r="Q6" s="122">
        <v>29.599999999999998</v>
      </c>
      <c r="R6" s="122">
        <v>29.5</v>
      </c>
    </row>
    <row r="7" spans="1:18">
      <c r="A7" s="142" t="s">
        <v>128</v>
      </c>
      <c r="B7" s="178">
        <v>9.5234497299179988E-2</v>
      </c>
      <c r="C7" s="227">
        <f t="shared" si="0"/>
        <v>109.6</v>
      </c>
      <c r="D7" s="228">
        <f t="shared" si="1"/>
        <v>7.0457073767686727E-3</v>
      </c>
      <c r="E7" s="178">
        <v>0.11631979581890134</v>
      </c>
      <c r="F7" s="229">
        <f t="shared" si="2"/>
        <v>112.30000000000001</v>
      </c>
      <c r="G7" s="228">
        <f t="shared" si="3"/>
        <v>8.5848360851585228E-3</v>
      </c>
      <c r="H7" s="178">
        <v>0.14415290789398341</v>
      </c>
      <c r="I7" s="227">
        <f t="shared" si="4"/>
        <v>115.4</v>
      </c>
      <c r="J7" s="228">
        <f t="shared" si="5"/>
        <v>9.9477640510691329E-3</v>
      </c>
      <c r="K7" s="230">
        <f t="shared" si="6"/>
        <v>8.5848360851585228E-3</v>
      </c>
      <c r="M7" s="163">
        <f t="shared" si="7"/>
        <v>0.98024315759493041</v>
      </c>
      <c r="N7" s="163">
        <f t="shared" si="7"/>
        <v>0.96048631518986083</v>
      </c>
      <c r="O7" s="199">
        <v>-11</v>
      </c>
      <c r="P7" s="122">
        <f>119.6+1</f>
        <v>120.6</v>
      </c>
      <c r="Q7" s="122">
        <v>123.30000000000001</v>
      </c>
      <c r="R7" s="122">
        <v>126.4</v>
      </c>
    </row>
    <row r="8" spans="1:18">
      <c r="A8" s="220" t="s">
        <v>664</v>
      </c>
      <c r="B8" s="178">
        <v>3.9564891943997729E-3</v>
      </c>
      <c r="C8" s="227">
        <f t="shared" si="0"/>
        <v>12.7</v>
      </c>
      <c r="D8" s="228">
        <f t="shared" si="1"/>
        <v>2.5260801461721672E-3</v>
      </c>
      <c r="E8" s="178">
        <v>3.5396572382462056E-3</v>
      </c>
      <c r="F8" s="229">
        <f t="shared" si="2"/>
        <v>12.2</v>
      </c>
      <c r="G8" s="228">
        <f t="shared" si="3"/>
        <v>2.4046922905736489E-3</v>
      </c>
      <c r="H8" s="178">
        <v>2.347229501956349E-3</v>
      </c>
      <c r="I8" s="227">
        <f t="shared" si="4"/>
        <v>10.7</v>
      </c>
      <c r="J8" s="228">
        <f t="shared" si="5"/>
        <v>1.746946699210151E-3</v>
      </c>
      <c r="K8" s="230">
        <f t="shared" si="6"/>
        <v>2.4046922905736489E-3</v>
      </c>
      <c r="M8" s="163">
        <f t="shared" si="7"/>
        <v>0.81449324606011264</v>
      </c>
      <c r="N8" s="163">
        <f t="shared" si="7"/>
        <v>0.62898649212022528</v>
      </c>
      <c r="O8" s="199">
        <v>-2</v>
      </c>
      <c r="P8" s="231">
        <v>14.7</v>
      </c>
      <c r="Q8" s="231">
        <v>14.2</v>
      </c>
      <c r="R8" s="122">
        <v>12.7</v>
      </c>
    </row>
    <row r="9" spans="1:18">
      <c r="A9" s="142" t="s">
        <v>429</v>
      </c>
      <c r="B9" s="178">
        <v>6.8433075327419171E-2</v>
      </c>
      <c r="C9" s="227">
        <f t="shared" si="0"/>
        <v>19.3</v>
      </c>
      <c r="D9" s="228">
        <f t="shared" si="1"/>
        <v>2.8750778630577109E-2</v>
      </c>
      <c r="E9" s="178">
        <v>1.2992409367648658E-2</v>
      </c>
      <c r="F9" s="229">
        <f t="shared" si="2"/>
        <v>14.9</v>
      </c>
      <c r="G9" s="228">
        <f t="shared" si="3"/>
        <v>7.2270583306547481E-3</v>
      </c>
      <c r="H9" s="178">
        <v>2.9610218792187296E-2</v>
      </c>
      <c r="I9" s="227">
        <f t="shared" si="4"/>
        <v>11.5</v>
      </c>
      <c r="J9" s="228">
        <f t="shared" si="5"/>
        <v>2.0504616599754621E-2</v>
      </c>
      <c r="K9" s="230">
        <f t="shared" si="6"/>
        <v>2.0504616599754621E-2</v>
      </c>
      <c r="M9" s="163">
        <f t="shared" si="7"/>
        <v>1.2999286910512693</v>
      </c>
      <c r="N9" s="163">
        <f t="shared" si="7"/>
        <v>1.5998573821025386</v>
      </c>
      <c r="O9" s="227"/>
      <c r="P9" s="231">
        <v>19.3</v>
      </c>
      <c r="Q9" s="231">
        <v>14.9</v>
      </c>
      <c r="R9" s="122">
        <v>11.5</v>
      </c>
    </row>
    <row r="10" spans="1:18">
      <c r="A10" s="142" t="s">
        <v>436</v>
      </c>
      <c r="B10" s="145">
        <f t="shared" ref="B10:H10" si="8">SUM(B3:B9)</f>
        <v>1</v>
      </c>
      <c r="C10" s="232">
        <f>SUM(C3:C9)-$O$10</f>
        <v>864.2</v>
      </c>
      <c r="D10" s="233">
        <f>B10/C10*B$11</f>
        <v>9.3826734265760516E-3</v>
      </c>
      <c r="E10" s="145">
        <f t="shared" si="8"/>
        <v>1</v>
      </c>
      <c r="F10" s="232">
        <f>SUM(F3:F9)-$O$10</f>
        <v>838.30000000000007</v>
      </c>
      <c r="G10" s="233">
        <f t="shared" si="3"/>
        <v>9.8868664149113546E-3</v>
      </c>
      <c r="H10" s="145">
        <f t="shared" si="8"/>
        <v>1</v>
      </c>
      <c r="I10" s="232">
        <f>SUM(I3:I9)-$O$10</f>
        <v>819.59999999999991</v>
      </c>
      <c r="J10" s="278">
        <f t="shared" si="5"/>
        <v>9.7164121265559747E-3</v>
      </c>
      <c r="K10" s="230">
        <f t="shared" si="6"/>
        <v>9.7164121265559747E-3</v>
      </c>
      <c r="M10" s="163">
        <f t="shared" si="7"/>
        <v>1.0105917441311998</v>
      </c>
      <c r="N10" s="163">
        <f t="shared" si="7"/>
        <v>1.0211834882623996</v>
      </c>
      <c r="O10" s="142">
        <f t="shared" ref="O10:R10" si="9">SUM(O3:O9)</f>
        <v>-13</v>
      </c>
      <c r="P10" s="142">
        <f t="shared" si="9"/>
        <v>864.2</v>
      </c>
      <c r="Q10" s="142">
        <f t="shared" si="9"/>
        <v>838.30000000000007</v>
      </c>
      <c r="R10" s="142">
        <f t="shared" si="9"/>
        <v>819.59999999999991</v>
      </c>
    </row>
    <row r="11" spans="1:18">
      <c r="A11" s="142" t="s">
        <v>437</v>
      </c>
      <c r="B11" s="234">
        <f>B12</f>
        <v>8.1085063752470248</v>
      </c>
      <c r="C11" s="142"/>
      <c r="D11" s="142"/>
      <c r="E11" s="234">
        <f>E12</f>
        <v>8.2881601156201903</v>
      </c>
      <c r="F11" s="142"/>
      <c r="G11" s="142"/>
      <c r="H11" s="234">
        <f>H12</f>
        <v>7.9635713789252769</v>
      </c>
      <c r="I11" s="142"/>
      <c r="J11" s="142" t="s">
        <v>438</v>
      </c>
      <c r="K11" s="230">
        <v>9.3214888281956346E-3</v>
      </c>
      <c r="M11" s="163">
        <f>M$1*$K11/$K$11+1-M$1</f>
        <v>1</v>
      </c>
      <c r="N11" s="163">
        <f>N$1*$K11/$K$11+1-N$1</f>
        <v>1</v>
      </c>
      <c r="P11" s="47">
        <v>838.3</v>
      </c>
      <c r="Q11" s="47">
        <v>819.6</v>
      </c>
      <c r="R11" s="47">
        <v>810.3</v>
      </c>
    </row>
    <row r="12" spans="1:18">
      <c r="A12" s="34" t="s">
        <v>701</v>
      </c>
      <c r="B12" s="47">
        <v>8.1085063752470248</v>
      </c>
      <c r="C12" s="47">
        <v>864.2</v>
      </c>
      <c r="D12" s="64">
        <v>9.3826734265760516E-3</v>
      </c>
      <c r="E12" s="47">
        <v>8.2881601156201903</v>
      </c>
      <c r="F12" s="47">
        <v>838.3</v>
      </c>
      <c r="G12" s="64">
        <v>9.8868664149113564E-3</v>
      </c>
      <c r="H12" s="47">
        <v>7.9635713789252769</v>
      </c>
      <c r="I12" s="47">
        <v>819.6</v>
      </c>
      <c r="J12" s="64">
        <v>9.7164121265559747E-3</v>
      </c>
      <c r="K12" s="64">
        <v>9.7164121265559747E-3</v>
      </c>
      <c r="M12" s="29">
        <v>1.0211834882623996</v>
      </c>
      <c r="N12" s="29">
        <v>1.0423669765247989</v>
      </c>
    </row>
    <row r="13" spans="1:18">
      <c r="B13" s="1" t="s">
        <v>608</v>
      </c>
      <c r="C13" s="1" t="s">
        <v>609</v>
      </c>
      <c r="D13" s="1" t="s">
        <v>610</v>
      </c>
      <c r="E13" s="1" t="s">
        <v>602</v>
      </c>
      <c r="F13" s="1" t="s">
        <v>603</v>
      </c>
      <c r="G13" s="1" t="s">
        <v>604</v>
      </c>
      <c r="H13" s="1" t="s">
        <v>605</v>
      </c>
      <c r="I13" s="1" t="s">
        <v>606</v>
      </c>
      <c r="J13" s="1" t="s">
        <v>607</v>
      </c>
      <c r="K13" s="79"/>
    </row>
    <row r="14" spans="1:18" ht="15.6" customHeight="1">
      <c r="D14" s="5"/>
      <c r="G14" s="5" t="s">
        <v>439</v>
      </c>
      <c r="H14" s="5"/>
      <c r="I14" s="5"/>
      <c r="J14" s="5"/>
      <c r="K14" s="5"/>
      <c r="N14" s="300"/>
      <c r="P14" s="300"/>
      <c r="Q14" s="484" t="s">
        <v>444</v>
      </c>
      <c r="R14" s="484"/>
    </row>
    <row r="15" spans="1:18">
      <c r="A15" s="5" t="s">
        <v>442</v>
      </c>
      <c r="B15" s="409" t="s">
        <v>443</v>
      </c>
      <c r="C15" s="410"/>
      <c r="D15" s="409" t="s">
        <v>444</v>
      </c>
      <c r="E15" s="410"/>
      <c r="G15" s="142"/>
      <c r="H15" s="409" t="s">
        <v>443</v>
      </c>
      <c r="I15" s="410"/>
      <c r="J15" s="409" t="s">
        <v>444</v>
      </c>
      <c r="K15" s="410"/>
      <c r="M15" s="485" t="s">
        <v>440</v>
      </c>
      <c r="N15" s="485"/>
      <c r="O15" s="485" t="s">
        <v>441</v>
      </c>
      <c r="P15" s="485"/>
      <c r="Q15" s="485"/>
      <c r="R15" s="485"/>
    </row>
    <row r="16" spans="1:18" s="10" customFormat="1">
      <c r="A16" s="140"/>
      <c r="B16" s="140" t="s">
        <v>425</v>
      </c>
      <c r="C16" s="141" t="s">
        <v>50</v>
      </c>
      <c r="D16" s="140" t="s">
        <v>425</v>
      </c>
      <c r="E16" s="141" t="s">
        <v>50</v>
      </c>
      <c r="G16" s="140"/>
      <c r="H16" s="140" t="s">
        <v>425</v>
      </c>
      <c r="I16" s="141" t="s">
        <v>50</v>
      </c>
      <c r="J16" s="140" t="s">
        <v>425</v>
      </c>
      <c r="K16" s="141" t="s">
        <v>50</v>
      </c>
      <c r="M16" s="140" t="s">
        <v>651</v>
      </c>
      <c r="N16" s="140" t="s">
        <v>652</v>
      </c>
      <c r="O16" s="140" t="s">
        <v>651</v>
      </c>
      <c r="P16" s="140" t="s">
        <v>652</v>
      </c>
      <c r="Q16" s="140" t="s">
        <v>651</v>
      </c>
      <c r="R16" s="140" t="s">
        <v>652</v>
      </c>
    </row>
    <row r="17" spans="1:18">
      <c r="A17" s="142" t="s">
        <v>124</v>
      </c>
      <c r="B17" s="122">
        <v>0</v>
      </c>
      <c r="C17" s="235">
        <f t="shared" ref="C17:C24" si="10">B17/B$25</f>
        <v>0</v>
      </c>
      <c r="D17" s="122">
        <v>0</v>
      </c>
      <c r="E17" s="235">
        <f t="shared" ref="E17:E24" si="11">D17/D$25</f>
        <v>0</v>
      </c>
      <c r="G17" s="142" t="s">
        <v>124</v>
      </c>
      <c r="H17" s="293">
        <f>IF($G$27=$O$15,O17+P17,M17+N17)</f>
        <v>607255.83610571327</v>
      </c>
      <c r="I17" s="235">
        <f t="shared" ref="I17:I23" si="12">H17/(H$25-H$24)</f>
        <v>0.26639736014142662</v>
      </c>
      <c r="J17" s="181">
        <f>Q17+R17</f>
        <v>1010356.1461219016</v>
      </c>
      <c r="K17" s="235">
        <f t="shared" ref="K17:K23" si="13">J17/(J$25-J$24)</f>
        <v>0.30092262798853947</v>
      </c>
      <c r="M17" s="293">
        <v>352906.85979693447</v>
      </c>
      <c r="N17" s="293">
        <v>354084.99866492837</v>
      </c>
      <c r="O17" s="293">
        <v>279111.058984562</v>
      </c>
      <c r="P17" s="293">
        <v>328144.77712115127</v>
      </c>
      <c r="Q17" s="293">
        <v>534246.64111003792</v>
      </c>
      <c r="R17" s="293">
        <v>476109.50501186366</v>
      </c>
    </row>
    <row r="18" spans="1:18">
      <c r="A18" s="142" t="s">
        <v>125</v>
      </c>
      <c r="B18" s="122">
        <v>0</v>
      </c>
      <c r="C18" s="235">
        <f t="shared" si="10"/>
        <v>0</v>
      </c>
      <c r="D18" s="122">
        <v>0</v>
      </c>
      <c r="E18" s="235">
        <f t="shared" si="11"/>
        <v>0</v>
      </c>
      <c r="G18" s="142" t="s">
        <v>125</v>
      </c>
      <c r="H18" s="293">
        <f t="shared" ref="H18:H24" si="14">IF($G$27=$O$15,O18+P18,M18+N18)</f>
        <v>900098.38847501436</v>
      </c>
      <c r="I18" s="235">
        <f t="shared" si="12"/>
        <v>0.39486460285834729</v>
      </c>
      <c r="J18" s="181">
        <f t="shared" ref="J18:J24" si="15">Q18+R18</f>
        <v>1834013.1624403009</v>
      </c>
      <c r="K18" s="235">
        <f t="shared" si="13"/>
        <v>0.54623912837614397</v>
      </c>
      <c r="M18" s="293">
        <v>604816.30654629751</v>
      </c>
      <c r="N18" s="293">
        <v>605631.75109795365</v>
      </c>
      <c r="O18" s="293">
        <v>436236.36961531546</v>
      </c>
      <c r="P18" s="293">
        <v>463862.01885969896</v>
      </c>
      <c r="Q18" s="293">
        <v>927848.47859569103</v>
      </c>
      <c r="R18" s="293">
        <v>906164.68384460977</v>
      </c>
    </row>
    <row r="19" spans="1:18">
      <c r="A19" s="142" t="s">
        <v>126</v>
      </c>
      <c r="B19" s="122">
        <v>0</v>
      </c>
      <c r="C19" s="235">
        <f t="shared" si="10"/>
        <v>0</v>
      </c>
      <c r="D19" s="122">
        <v>0</v>
      </c>
      <c r="E19" s="235">
        <f t="shared" si="11"/>
        <v>0</v>
      </c>
      <c r="G19" s="142" t="s">
        <v>126</v>
      </c>
      <c r="H19" s="293">
        <f t="shared" si="14"/>
        <v>230687.8512276292</v>
      </c>
      <c r="I19" s="235">
        <f t="shared" si="12"/>
        <v>0.10120056643315707</v>
      </c>
      <c r="J19" s="181">
        <f t="shared" si="15"/>
        <v>60556.806243156789</v>
      </c>
      <c r="K19" s="235">
        <f t="shared" si="13"/>
        <v>1.8036128495114736E-2</v>
      </c>
      <c r="M19" s="293">
        <v>65456.936621498484</v>
      </c>
      <c r="N19" s="293">
        <v>61432.591203569296</v>
      </c>
      <c r="O19" s="293">
        <v>128294.90147600896</v>
      </c>
      <c r="P19" s="293">
        <v>102392.94975162024</v>
      </c>
      <c r="Q19" s="293">
        <v>38153.466909514282</v>
      </c>
      <c r="R19" s="293">
        <v>22403.339333642507</v>
      </c>
    </row>
    <row r="20" spans="1:18">
      <c r="A20" s="142" t="s">
        <v>127</v>
      </c>
      <c r="B20" s="122">
        <v>0</v>
      </c>
      <c r="C20" s="235">
        <f t="shared" si="10"/>
        <v>0</v>
      </c>
      <c r="D20" s="122">
        <v>0</v>
      </c>
      <c r="E20" s="235">
        <f t="shared" si="11"/>
        <v>0</v>
      </c>
      <c r="G20" s="142" t="s">
        <v>127</v>
      </c>
      <c r="H20" s="293">
        <f t="shared" si="14"/>
        <v>78265.938053265621</v>
      </c>
      <c r="I20" s="235">
        <f t="shared" si="12"/>
        <v>3.4334522694900491E-2</v>
      </c>
      <c r="J20" s="181">
        <f t="shared" si="15"/>
        <v>27578.828608252254</v>
      </c>
      <c r="K20" s="235">
        <f t="shared" si="13"/>
        <v>8.2140279083723015E-3</v>
      </c>
      <c r="M20" s="293">
        <v>22462.496431712159</v>
      </c>
      <c r="N20" s="293">
        <v>27945.534126868191</v>
      </c>
      <c r="O20" s="293">
        <v>37450.360212823842</v>
      </c>
      <c r="P20" s="293">
        <v>40815.57784044178</v>
      </c>
      <c r="Q20" s="293">
        <v>13700.032710062604</v>
      </c>
      <c r="R20" s="293">
        <v>13878.795898189652</v>
      </c>
    </row>
    <row r="21" spans="1:18">
      <c r="A21" s="142" t="s">
        <v>128</v>
      </c>
      <c r="B21" s="122">
        <v>0.78</v>
      </c>
      <c r="C21" s="235">
        <f t="shared" si="10"/>
        <v>7.6023391812865507E-2</v>
      </c>
      <c r="D21" s="122">
        <v>0.78</v>
      </c>
      <c r="E21" s="235">
        <f t="shared" si="11"/>
        <v>7.6023391812865507E-2</v>
      </c>
      <c r="G21" s="142" t="s">
        <v>128</v>
      </c>
      <c r="H21" s="293">
        <f t="shared" si="14"/>
        <v>325425.26938013267</v>
      </c>
      <c r="I21" s="235">
        <f t="shared" si="12"/>
        <v>0.14276097079960914</v>
      </c>
      <c r="J21" s="181">
        <f t="shared" si="15"/>
        <v>224739.08549185621</v>
      </c>
      <c r="K21" s="235">
        <f t="shared" si="13"/>
        <v>6.6935878479617655E-2</v>
      </c>
      <c r="M21" s="293">
        <v>146830.46394999724</v>
      </c>
      <c r="N21" s="293">
        <v>78445.844811021234</v>
      </c>
      <c r="O21" s="293">
        <v>201638.48134279615</v>
      </c>
      <c r="P21" s="293">
        <v>123786.78803733655</v>
      </c>
      <c r="Q21" s="293">
        <v>156617.98049814871</v>
      </c>
      <c r="R21" s="293">
        <v>68121.104993707486</v>
      </c>
    </row>
    <row r="22" spans="1:18">
      <c r="A22" s="220" t="s">
        <v>664</v>
      </c>
      <c r="B22" s="122">
        <v>9.48</v>
      </c>
      <c r="C22" s="235">
        <f t="shared" si="10"/>
        <v>0.92397660818713456</v>
      </c>
      <c r="D22" s="122">
        <v>9.48</v>
      </c>
      <c r="E22" s="235">
        <f t="shared" si="11"/>
        <v>0.92397660818713456</v>
      </c>
      <c r="G22" s="220" t="s">
        <v>664</v>
      </c>
      <c r="H22" s="293">
        <f t="shared" si="14"/>
        <v>21008.865612639762</v>
      </c>
      <c r="I22" s="235">
        <f t="shared" si="12"/>
        <v>9.2163895445855105E-3</v>
      </c>
      <c r="J22" s="181">
        <f t="shared" si="15"/>
        <v>26905.890107303745</v>
      </c>
      <c r="K22" s="235">
        <f t="shared" si="13"/>
        <v>8.0136011351425174E-3</v>
      </c>
      <c r="M22" s="181">
        <v>11936.837745887686</v>
      </c>
      <c r="N22" s="181">
        <v>9931.1250210190337</v>
      </c>
      <c r="O22" s="181">
        <v>12794.578309596985</v>
      </c>
      <c r="P22" s="181">
        <v>8214.2873030427763</v>
      </c>
      <c r="Q22" s="181">
        <v>14610.172700357696</v>
      </c>
      <c r="R22" s="181">
        <v>12295.717406946049</v>
      </c>
    </row>
    <row r="23" spans="1:18">
      <c r="A23" s="142" t="s">
        <v>130</v>
      </c>
      <c r="B23" s="122">
        <v>0</v>
      </c>
      <c r="C23" s="235">
        <f t="shared" si="10"/>
        <v>0</v>
      </c>
      <c r="D23" s="122">
        <v>0</v>
      </c>
      <c r="E23" s="235">
        <f t="shared" si="11"/>
        <v>0</v>
      </c>
      <c r="G23" s="142" t="s">
        <v>130</v>
      </c>
      <c r="H23" s="293">
        <f t="shared" si="14"/>
        <v>116769.31395938704</v>
      </c>
      <c r="I23" s="235">
        <f t="shared" si="12"/>
        <v>5.1225587527973827E-2</v>
      </c>
      <c r="J23" s="181">
        <f t="shared" si="15"/>
        <v>173378.07040908287</v>
      </c>
      <c r="K23" s="235">
        <f t="shared" si="13"/>
        <v>5.1638607617069336E-2</v>
      </c>
      <c r="M23" s="181">
        <v>74101.262450850918</v>
      </c>
      <c r="N23" s="181">
        <v>48421.050587657628</v>
      </c>
      <c r="O23" s="181">
        <v>79459.983060447557</v>
      </c>
      <c r="P23" s="181">
        <v>37309.330898939486</v>
      </c>
      <c r="Q23" s="181">
        <v>100929.38161526396</v>
      </c>
      <c r="R23" s="181">
        <v>72448.688793818917</v>
      </c>
    </row>
    <row r="24" spans="1:18" ht="15.75" customHeight="1">
      <c r="A24" s="142" t="s">
        <v>445</v>
      </c>
      <c r="B24" s="122">
        <v>0</v>
      </c>
      <c r="C24" s="235">
        <f t="shared" si="10"/>
        <v>0</v>
      </c>
      <c r="D24" s="122">
        <v>0</v>
      </c>
      <c r="E24" s="235">
        <f t="shared" si="11"/>
        <v>0</v>
      </c>
      <c r="G24" s="142" t="s">
        <v>445</v>
      </c>
      <c r="H24" s="293">
        <f t="shared" si="14"/>
        <v>24122.055468277853</v>
      </c>
      <c r="I24" s="235"/>
      <c r="J24" s="181">
        <f t="shared" si="15"/>
        <v>39498.431628634302</v>
      </c>
      <c r="K24" s="235"/>
      <c r="M24" s="181">
        <v>16298.739537404068</v>
      </c>
      <c r="N24" s="181">
        <v>11817.415542712453</v>
      </c>
      <c r="O24" s="181">
        <v>12015.092559220811</v>
      </c>
      <c r="P24" s="181">
        <v>12106.96290905704</v>
      </c>
      <c r="Q24" s="181">
        <v>25846.938508035717</v>
      </c>
      <c r="R24" s="181">
        <v>13651.493120598583</v>
      </c>
    </row>
    <row r="25" spans="1:18">
      <c r="A25" s="142" t="s">
        <v>150</v>
      </c>
      <c r="B25" s="142">
        <f>SUM(B17:B24)</f>
        <v>10.26</v>
      </c>
      <c r="C25" s="235">
        <f>SUM(C17:C24)</f>
        <v>1</v>
      </c>
      <c r="D25" s="142">
        <f>SUM(D17:D24)</f>
        <v>10.26</v>
      </c>
      <c r="E25" s="235">
        <f>SUM(E17:E24)</f>
        <v>1</v>
      </c>
      <c r="G25" s="142" t="s">
        <v>150</v>
      </c>
      <c r="H25" s="236">
        <f>SUM(H17:H24)</f>
        <v>2303633.51828206</v>
      </c>
      <c r="I25" s="235">
        <f>SUM(I17:I24)</f>
        <v>0.99999999999999989</v>
      </c>
      <c r="J25" s="236">
        <f>SUM(J17:J24)</f>
        <v>3397026.4210504885</v>
      </c>
      <c r="K25" s="235">
        <f>SUM(K17:K24)</f>
        <v>0.99999999999999989</v>
      </c>
      <c r="M25" s="237">
        <f>SUM(M17:M24)</f>
        <v>1294809.9030805824</v>
      </c>
      <c r="N25" s="237">
        <f t="shared" ref="N25:R25" si="16">SUM(N17:N24)</f>
        <v>1197710.3110557299</v>
      </c>
      <c r="O25" s="237">
        <f t="shared" si="16"/>
        <v>1187000.8255607716</v>
      </c>
      <c r="P25" s="237">
        <f t="shared" si="16"/>
        <v>1116632.692721288</v>
      </c>
      <c r="Q25" s="237">
        <f t="shared" si="16"/>
        <v>1811953.0926471115</v>
      </c>
      <c r="R25" s="237">
        <f t="shared" si="16"/>
        <v>1585073.3284033767</v>
      </c>
    </row>
    <row r="26" spans="1:18">
      <c r="A26" s="1" t="s">
        <v>446</v>
      </c>
      <c r="B26" s="283">
        <v>10.26</v>
      </c>
      <c r="D26" s="283">
        <v>10.26</v>
      </c>
      <c r="G26" s="34" t="s">
        <v>701</v>
      </c>
      <c r="H26" s="67">
        <f>VstupySR!B48</f>
        <v>1856710.914682199</v>
      </c>
      <c r="I26" s="46"/>
      <c r="J26" s="40">
        <f>VstupySR!B58</f>
        <v>3397253.8526802831</v>
      </c>
      <c r="K26" s="46"/>
      <c r="M26" s="67">
        <v>1294889.7305795087</v>
      </c>
      <c r="N26" s="67">
        <v>1215408.5161864983</v>
      </c>
      <c r="O26" s="279"/>
      <c r="Q26" s="52">
        <v>1812180.5158800271</v>
      </c>
      <c r="R26" s="52">
        <v>1585073.3284033756</v>
      </c>
    </row>
    <row r="27" spans="1:18">
      <c r="D27" s="1" t="s">
        <v>613</v>
      </c>
      <c r="G27" s="1" t="s">
        <v>441</v>
      </c>
    </row>
    <row r="28" spans="1:18">
      <c r="A28" s="395" t="s">
        <v>447</v>
      </c>
      <c r="B28" s="395"/>
      <c r="C28" s="395"/>
      <c r="D28" s="395"/>
      <c r="E28" s="395"/>
      <c r="F28" s="395"/>
    </row>
    <row r="29" spans="1:18">
      <c r="A29" s="486" t="s">
        <v>448</v>
      </c>
      <c r="B29" s="486"/>
      <c r="C29" s="486"/>
      <c r="D29" s="486"/>
      <c r="E29" s="486"/>
      <c r="F29" s="486"/>
    </row>
    <row r="30" spans="1:18">
      <c r="A30" s="142"/>
      <c r="B30" s="400" t="s">
        <v>449</v>
      </c>
      <c r="C30" s="400"/>
      <c r="D30" s="400" t="s">
        <v>450</v>
      </c>
      <c r="E30" s="400"/>
      <c r="F30" s="400" t="s">
        <v>451</v>
      </c>
      <c r="G30" s="400"/>
    </row>
    <row r="31" spans="1:18" s="24" customFormat="1">
      <c r="A31" s="140"/>
      <c r="B31" s="140" t="s">
        <v>425</v>
      </c>
      <c r="C31" s="141" t="s">
        <v>50</v>
      </c>
      <c r="D31" s="140" t="s">
        <v>425</v>
      </c>
      <c r="E31" s="141" t="s">
        <v>50</v>
      </c>
      <c r="F31" s="140" t="s">
        <v>425</v>
      </c>
      <c r="G31" s="141" t="s">
        <v>50</v>
      </c>
    </row>
    <row r="32" spans="1:18">
      <c r="A32" s="142" t="s">
        <v>124</v>
      </c>
      <c r="B32" s="238">
        <v>6790.4690000000001</v>
      </c>
      <c r="C32" s="235">
        <f t="shared" ref="C32:C37" si="17">B32/B$38</f>
        <v>0.56861003707433078</v>
      </c>
      <c r="D32" s="238">
        <v>2249.6000000000004</v>
      </c>
      <c r="E32" s="235">
        <f t="shared" ref="E32:E37" si="18">D32/D$38</f>
        <v>0.35281201969825293</v>
      </c>
      <c r="F32" s="238">
        <v>1314</v>
      </c>
      <c r="G32" s="235">
        <f t="shared" ref="G32:G37" si="19">F32/F$38</f>
        <v>0.64144495972662929</v>
      </c>
    </row>
    <row r="33" spans="1:7">
      <c r="A33" s="142" t="s">
        <v>125</v>
      </c>
      <c r="B33" s="238">
        <v>2115.2315000000003</v>
      </c>
      <c r="C33" s="235">
        <f t="shared" si="17"/>
        <v>0.1771220605875371</v>
      </c>
      <c r="D33" s="238">
        <v>1260.5500000000004</v>
      </c>
      <c r="E33" s="235">
        <f t="shared" si="18"/>
        <v>0.19769611994604944</v>
      </c>
      <c r="F33" s="238">
        <v>734.5</v>
      </c>
      <c r="G33" s="235">
        <f t="shared" si="19"/>
        <v>0.35855504027337076</v>
      </c>
    </row>
    <row r="34" spans="1:7">
      <c r="A34" s="142" t="s">
        <v>126</v>
      </c>
      <c r="B34" s="238">
        <v>840.49999999999989</v>
      </c>
      <c r="C34" s="235">
        <f t="shared" si="17"/>
        <v>7.0380519543049969E-2</v>
      </c>
      <c r="D34" s="238">
        <v>827.7</v>
      </c>
      <c r="E34" s="235">
        <f t="shared" si="18"/>
        <v>0.12981085913239862</v>
      </c>
      <c r="F34" s="238">
        <v>0</v>
      </c>
      <c r="G34" s="235">
        <f t="shared" si="19"/>
        <v>0</v>
      </c>
    </row>
    <row r="35" spans="1:7">
      <c r="A35" s="142" t="s">
        <v>127</v>
      </c>
      <c r="B35" s="238">
        <v>585.09999999999991</v>
      </c>
      <c r="C35" s="235">
        <f t="shared" si="17"/>
        <v>4.899422008880254E-2</v>
      </c>
      <c r="D35" s="238">
        <v>581.9</v>
      </c>
      <c r="E35" s="235">
        <f t="shared" si="18"/>
        <v>9.1261252783789715E-2</v>
      </c>
      <c r="F35" s="238">
        <v>0</v>
      </c>
      <c r="G35" s="235">
        <f t="shared" si="19"/>
        <v>0</v>
      </c>
    </row>
    <row r="36" spans="1:7">
      <c r="A36" s="142" t="s">
        <v>128</v>
      </c>
      <c r="B36" s="238">
        <v>1552.2575000000002</v>
      </c>
      <c r="C36" s="235">
        <f t="shared" si="17"/>
        <v>0.12998059406852577</v>
      </c>
      <c r="D36" s="238">
        <v>1407.1499999999999</v>
      </c>
      <c r="E36" s="235">
        <f t="shared" si="18"/>
        <v>0.22068787051849062</v>
      </c>
      <c r="F36" s="238">
        <v>0</v>
      </c>
      <c r="G36" s="235">
        <f t="shared" si="19"/>
        <v>0</v>
      </c>
    </row>
    <row r="37" spans="1:7">
      <c r="A37" s="220" t="s">
        <v>664</v>
      </c>
      <c r="B37" s="238">
        <v>58.666999999999994</v>
      </c>
      <c r="C37" s="235">
        <f t="shared" si="17"/>
        <v>4.9125686377538514E-3</v>
      </c>
      <c r="D37" s="238">
        <v>49.3</v>
      </c>
      <c r="E37" s="235">
        <f t="shared" si="18"/>
        <v>7.731877921018788E-3</v>
      </c>
      <c r="F37" s="238">
        <v>0</v>
      </c>
      <c r="G37" s="235">
        <f t="shared" si="19"/>
        <v>0</v>
      </c>
    </row>
    <row r="38" spans="1:7">
      <c r="A38" s="142" t="s">
        <v>150</v>
      </c>
      <c r="B38" s="239">
        <f t="shared" ref="B38:G38" si="20">SUM(B32:B37)</f>
        <v>11942.225</v>
      </c>
      <c r="C38" s="235">
        <f t="shared" si="20"/>
        <v>0.99999999999999989</v>
      </c>
      <c r="D38" s="239">
        <f t="shared" si="20"/>
        <v>6376.2</v>
      </c>
      <c r="E38" s="235">
        <f t="shared" si="20"/>
        <v>1</v>
      </c>
      <c r="F38" s="239">
        <f t="shared" si="20"/>
        <v>2048.5</v>
      </c>
      <c r="G38" s="235">
        <f t="shared" si="20"/>
        <v>1</v>
      </c>
    </row>
    <row r="39" spans="1:7">
      <c r="A39" s="34" t="s">
        <v>701</v>
      </c>
      <c r="B39" s="46">
        <v>11942.224999999995</v>
      </c>
      <c r="C39" s="45"/>
      <c r="D39" s="46">
        <v>6376.199999999998</v>
      </c>
      <c r="E39" s="46"/>
      <c r="F39" s="46">
        <v>2048.5</v>
      </c>
      <c r="G39" s="46"/>
    </row>
    <row r="40" spans="1:7">
      <c r="B40" s="1" t="s">
        <v>599</v>
      </c>
      <c r="D40" s="1" t="s">
        <v>600</v>
      </c>
      <c r="F40" s="1" t="s">
        <v>601</v>
      </c>
    </row>
    <row r="46" spans="1:7">
      <c r="A46" s="395" t="s">
        <v>452</v>
      </c>
      <c r="B46" s="395"/>
      <c r="C46" s="395"/>
      <c r="D46" s="395"/>
      <c r="E46" s="395"/>
      <c r="F46" s="395"/>
    </row>
    <row r="47" spans="1:7" ht="31.5">
      <c r="A47" s="240"/>
      <c r="B47" s="153" t="s">
        <v>453</v>
      </c>
      <c r="C47" s="123" t="s">
        <v>50</v>
      </c>
      <c r="D47" s="33"/>
      <c r="E47" s="33"/>
      <c r="F47" s="33"/>
    </row>
    <row r="48" spans="1:7">
      <c r="A48" s="240" t="s">
        <v>454</v>
      </c>
      <c r="B48" s="241">
        <f>INT(0.4+C48*33.4%*2000000)</f>
        <v>87708</v>
      </c>
      <c r="C48" s="242">
        <v>0.13130023285510403</v>
      </c>
      <c r="D48" s="7" t="s">
        <v>455</v>
      </c>
      <c r="E48" s="33"/>
      <c r="F48" s="33"/>
    </row>
    <row r="49" spans="1:9">
      <c r="A49" s="240" t="s">
        <v>456</v>
      </c>
      <c r="B49" s="241">
        <f>INT(0.5+C49*33.3%*2000000)</f>
        <v>28208</v>
      </c>
      <c r="C49" s="242">
        <v>4.2354335734476153E-2</v>
      </c>
      <c r="D49" s="7" t="s">
        <v>457</v>
      </c>
      <c r="E49" s="33"/>
      <c r="F49" s="33"/>
    </row>
    <row r="50" spans="1:9">
      <c r="A50" s="240" t="s">
        <v>458</v>
      </c>
      <c r="B50" s="241">
        <f>INT(0.5+C50*33.3%*2000000)</f>
        <v>34152</v>
      </c>
      <c r="C50" s="242">
        <v>5.1278730980899967E-2</v>
      </c>
      <c r="D50" s="7" t="s">
        <v>459</v>
      </c>
      <c r="E50" s="33"/>
      <c r="F50" s="33"/>
    </row>
    <row r="51" spans="1:9">
      <c r="A51" s="33"/>
      <c r="B51" s="33"/>
      <c r="C51" s="33"/>
      <c r="D51" s="33"/>
      <c r="E51" s="33"/>
      <c r="F51" s="33"/>
    </row>
    <row r="52" spans="1:9" s="5" customFormat="1">
      <c r="A52" s="142"/>
      <c r="B52" s="400" t="s">
        <v>454</v>
      </c>
      <c r="C52" s="400"/>
      <c r="D52" s="400" t="s">
        <v>460</v>
      </c>
      <c r="E52" s="400"/>
      <c r="F52" s="400" t="s">
        <v>461</v>
      </c>
      <c r="G52" s="400"/>
      <c r="H52" s="479" t="s">
        <v>462</v>
      </c>
      <c r="I52" s="480" t="s">
        <v>50</v>
      </c>
    </row>
    <row r="53" spans="1:9" s="10" customFormat="1" ht="31.5">
      <c r="A53" s="140"/>
      <c r="B53" s="166" t="str">
        <f>"počet 
k 31.10."&amp;Rok-2</f>
        <v>počet 
k 31.10.2022</v>
      </c>
      <c r="C53" s="140" t="s">
        <v>251</v>
      </c>
      <c r="D53" s="166" t="str">
        <f>"počet za AR "&amp;Rok-3&amp;"/"&amp;Rok-2</f>
        <v>počet za AR 2021/2022</v>
      </c>
      <c r="E53" s="140" t="s">
        <v>251</v>
      </c>
      <c r="F53" s="166" t="str">
        <f>"počet za AR "&amp;Rok-3&amp;"/"&amp;Rok-2</f>
        <v>počet za AR 2021/2022</v>
      </c>
      <c r="G53" s="140" t="s">
        <v>251</v>
      </c>
      <c r="H53" s="479"/>
      <c r="I53" s="480"/>
    </row>
    <row r="54" spans="1:9">
      <c r="A54" s="142" t="s">
        <v>124</v>
      </c>
      <c r="B54" s="122">
        <v>1334</v>
      </c>
      <c r="C54" s="178">
        <f t="shared" ref="C54:C59" si="21">B54/B$60</f>
        <v>0.76315789473684215</v>
      </c>
      <c r="D54" s="122">
        <v>28.1</v>
      </c>
      <c r="E54" s="178">
        <f t="shared" ref="E54:E59" si="22">D54/D$60</f>
        <v>0.30247578040904199</v>
      </c>
      <c r="F54" s="122">
        <v>47</v>
      </c>
      <c r="G54" s="125">
        <f t="shared" ref="G54:G59" si="23">F54/F$60</f>
        <v>0.59343434343434354</v>
      </c>
      <c r="H54" s="243">
        <f>C54*$B$48+E54*$B$49+G54*$B$50</f>
        <v>95734.259142326904</v>
      </c>
      <c r="I54" s="244">
        <f>H54/H$60</f>
        <v>0.63793919518036424</v>
      </c>
    </row>
    <row r="55" spans="1:9">
      <c r="A55" s="142" t="s">
        <v>125</v>
      </c>
      <c r="B55" s="122">
        <v>82</v>
      </c>
      <c r="C55" s="178">
        <f t="shared" si="21"/>
        <v>4.691075514874142E-2</v>
      </c>
      <c r="D55" s="122">
        <v>16.5</v>
      </c>
      <c r="E55" s="178">
        <f t="shared" si="22"/>
        <v>0.17761033369214208</v>
      </c>
      <c r="F55" s="122">
        <v>14.1</v>
      </c>
      <c r="G55" s="125">
        <f t="shared" si="23"/>
        <v>0.17803030303030304</v>
      </c>
      <c r="H55" s="243">
        <f t="shared" ref="H55:H59" si="24">C55*$B$48+E55*$B$49+G55*$B$50</f>
        <v>15204.571714464666</v>
      </c>
      <c r="I55" s="244">
        <f t="shared" ref="I55:I59" si="25">H55/H$60</f>
        <v>0.10131788065719985</v>
      </c>
    </row>
    <row r="56" spans="1:9">
      <c r="A56" s="142" t="s">
        <v>126</v>
      </c>
      <c r="B56" s="122">
        <v>9</v>
      </c>
      <c r="C56" s="178">
        <f t="shared" si="21"/>
        <v>5.148741418764302E-3</v>
      </c>
      <c r="D56" s="122">
        <v>11</v>
      </c>
      <c r="E56" s="178">
        <f t="shared" si="22"/>
        <v>0.11840688912809472</v>
      </c>
      <c r="F56" s="122">
        <v>8</v>
      </c>
      <c r="G56" s="125">
        <f t="shared" si="23"/>
        <v>0.10101010101010102</v>
      </c>
      <c r="H56" s="243">
        <f t="shared" si="24"/>
        <v>7241.3043105792449</v>
      </c>
      <c r="I56" s="244">
        <f t="shared" si="25"/>
        <v>4.8253487156350756E-2</v>
      </c>
    </row>
    <row r="57" spans="1:9">
      <c r="A57" s="142" t="s">
        <v>127</v>
      </c>
      <c r="B57" s="122">
        <v>152</v>
      </c>
      <c r="C57" s="178">
        <f t="shared" si="21"/>
        <v>8.6956521739130432E-2</v>
      </c>
      <c r="D57" s="122">
        <v>5.3</v>
      </c>
      <c r="E57" s="178">
        <f t="shared" si="22"/>
        <v>5.7050592034445638E-2</v>
      </c>
      <c r="F57" s="122">
        <v>3</v>
      </c>
      <c r="G57" s="125">
        <f t="shared" si="23"/>
        <v>3.7878787878787887E-2</v>
      </c>
      <c r="H57" s="243">
        <f t="shared" si="24"/>
        <v>10529.702072439659</v>
      </c>
      <c r="I57" s="244">
        <f t="shared" si="25"/>
        <v>7.0166205136602461E-2</v>
      </c>
    </row>
    <row r="58" spans="1:9">
      <c r="A58" s="142" t="s">
        <v>128</v>
      </c>
      <c r="B58" s="122">
        <v>155</v>
      </c>
      <c r="C58" s="178">
        <f t="shared" si="21"/>
        <v>8.8672768878718541E-2</v>
      </c>
      <c r="D58" s="122">
        <v>32</v>
      </c>
      <c r="E58" s="178">
        <f t="shared" si="22"/>
        <v>0.34445640473627553</v>
      </c>
      <c r="F58" s="122">
        <v>7.1</v>
      </c>
      <c r="G58" s="125">
        <f t="shared" si="23"/>
        <v>8.9646464646464655E-2</v>
      </c>
      <c r="H58" s="243">
        <f t="shared" si="24"/>
        <v>20555.343538221565</v>
      </c>
      <c r="I58" s="244">
        <f t="shared" si="25"/>
        <v>0.13697352892169926</v>
      </c>
    </row>
    <row r="59" spans="1:9">
      <c r="A59" s="220" t="s">
        <v>664</v>
      </c>
      <c r="B59" s="122">
        <v>16</v>
      </c>
      <c r="C59" s="178">
        <f t="shared" si="21"/>
        <v>9.1533180778032037E-3</v>
      </c>
      <c r="D59" s="122">
        <v>0</v>
      </c>
      <c r="E59" s="178">
        <f t="shared" si="22"/>
        <v>0</v>
      </c>
      <c r="F59" s="122">
        <v>0</v>
      </c>
      <c r="G59" s="125">
        <f t="shared" si="23"/>
        <v>0</v>
      </c>
      <c r="H59" s="243">
        <f t="shared" si="24"/>
        <v>802.81922196796336</v>
      </c>
      <c r="I59" s="244">
        <f t="shared" si="25"/>
        <v>5.3497029477834268E-3</v>
      </c>
    </row>
    <row r="60" spans="1:9">
      <c r="A60" s="142" t="s">
        <v>150</v>
      </c>
      <c r="B60" s="142">
        <f t="shared" ref="B60:I60" si="26">SUM(B54:B59)</f>
        <v>1748</v>
      </c>
      <c r="C60" s="145">
        <f t="shared" si="26"/>
        <v>1</v>
      </c>
      <c r="D60" s="142">
        <f t="shared" si="26"/>
        <v>92.9</v>
      </c>
      <c r="E60" s="145">
        <f t="shared" si="26"/>
        <v>1</v>
      </c>
      <c r="F60" s="142">
        <f t="shared" si="26"/>
        <v>79.199999999999989</v>
      </c>
      <c r="G60" s="145">
        <f t="shared" si="26"/>
        <v>1.0000000000000002</v>
      </c>
      <c r="H60" s="245">
        <f>SUM(H54:H59)</f>
        <v>150068</v>
      </c>
      <c r="I60" s="235">
        <f t="shared" si="26"/>
        <v>1</v>
      </c>
    </row>
    <row r="61" spans="1:9">
      <c r="A61" s="34" t="s">
        <v>701</v>
      </c>
      <c r="B61" s="46">
        <v>1748</v>
      </c>
      <c r="C61" s="61"/>
      <c r="D61" s="53">
        <v>92.9</v>
      </c>
      <c r="E61" s="61"/>
      <c r="F61" s="53">
        <v>79.2</v>
      </c>
      <c r="G61" s="61"/>
      <c r="H61" s="86">
        <v>150068</v>
      </c>
    </row>
    <row r="62" spans="1:9">
      <c r="B62" s="4" t="s">
        <v>463</v>
      </c>
      <c r="C62" s="4"/>
      <c r="D62" s="4" t="s">
        <v>464</v>
      </c>
      <c r="E62" s="4"/>
      <c r="F62" s="4" t="s">
        <v>464</v>
      </c>
      <c r="H62" s="1" t="s">
        <v>465</v>
      </c>
    </row>
    <row r="64" spans="1:9">
      <c r="A64" s="395" t="s">
        <v>612</v>
      </c>
      <c r="B64" s="395"/>
      <c r="C64" s="395"/>
      <c r="D64" s="395"/>
      <c r="E64" s="395"/>
      <c r="F64" s="395"/>
      <c r="G64" s="395"/>
      <c r="H64" s="395"/>
    </row>
    <row r="65" spans="1:3" s="6" customFormat="1" ht="31.5">
      <c r="A65" s="166"/>
      <c r="B65" s="166" t="s">
        <v>466</v>
      </c>
      <c r="C65" s="175" t="s">
        <v>50</v>
      </c>
    </row>
    <row r="66" spans="1:3">
      <c r="A66" s="142" t="s">
        <v>124</v>
      </c>
      <c r="B66" s="122">
        <v>487</v>
      </c>
      <c r="C66" s="235">
        <f t="shared" ref="C66:C72" si="27">B66/B$73</f>
        <v>0.25259336099585061</v>
      </c>
    </row>
    <row r="67" spans="1:3">
      <c r="A67" s="142" t="s">
        <v>125</v>
      </c>
      <c r="B67" s="122">
        <v>911</v>
      </c>
      <c r="C67" s="235">
        <f t="shared" si="27"/>
        <v>0.47251037344398339</v>
      </c>
    </row>
    <row r="68" spans="1:3">
      <c r="A68" s="142" t="s">
        <v>126</v>
      </c>
      <c r="B68" s="122">
        <v>151</v>
      </c>
      <c r="C68" s="235">
        <f t="shared" si="27"/>
        <v>7.8319502074688796E-2</v>
      </c>
    </row>
    <row r="69" spans="1:3">
      <c r="A69" s="142" t="s">
        <v>127</v>
      </c>
      <c r="B69" s="122">
        <v>49</v>
      </c>
      <c r="C69" s="235">
        <f t="shared" si="27"/>
        <v>2.5414937759336099E-2</v>
      </c>
    </row>
    <row r="70" spans="1:3">
      <c r="A70" s="142" t="s">
        <v>128</v>
      </c>
      <c r="B70" s="122">
        <v>330</v>
      </c>
      <c r="C70" s="235">
        <f t="shared" si="27"/>
        <v>0.17116182572614108</v>
      </c>
    </row>
    <row r="71" spans="1:3">
      <c r="A71" s="220" t="s">
        <v>664</v>
      </c>
      <c r="B71" s="122"/>
      <c r="C71" s="235">
        <f t="shared" si="27"/>
        <v>0</v>
      </c>
    </row>
    <row r="72" spans="1:3">
      <c r="A72" s="142" t="s">
        <v>130</v>
      </c>
      <c r="B72" s="122"/>
      <c r="C72" s="235">
        <f t="shared" si="27"/>
        <v>0</v>
      </c>
    </row>
    <row r="73" spans="1:3">
      <c r="A73" s="142" t="s">
        <v>150</v>
      </c>
      <c r="B73" s="142">
        <f>SUM(B66:B72)</f>
        <v>1928</v>
      </c>
      <c r="C73" s="235">
        <f>SUM(C66:C72)</f>
        <v>1</v>
      </c>
    </row>
    <row r="74" spans="1:3">
      <c r="A74" s="1" t="s">
        <v>701</v>
      </c>
      <c r="B74" s="1">
        <v>1928</v>
      </c>
    </row>
    <row r="75" spans="1:3">
      <c r="B75" s="1" t="s">
        <v>611</v>
      </c>
    </row>
    <row r="79" spans="1:3">
      <c r="A79" s="41" t="s">
        <v>467</v>
      </c>
    </row>
  </sheetData>
  <mergeCells count="19">
    <mergeCell ref="Q14:R15"/>
    <mergeCell ref="D15:E15"/>
    <mergeCell ref="H52:H53"/>
    <mergeCell ref="A46:F46"/>
    <mergeCell ref="A28:F28"/>
    <mergeCell ref="B30:C30"/>
    <mergeCell ref="D30:E30"/>
    <mergeCell ref="F30:G30"/>
    <mergeCell ref="A29:F29"/>
    <mergeCell ref="H15:I15"/>
    <mergeCell ref="J15:K15"/>
    <mergeCell ref="B15:C15"/>
    <mergeCell ref="M15:N15"/>
    <mergeCell ref="O15:P15"/>
    <mergeCell ref="A64:H64"/>
    <mergeCell ref="B52:C52"/>
    <mergeCell ref="D52:E52"/>
    <mergeCell ref="F52:G52"/>
    <mergeCell ref="I52:I53"/>
  </mergeCells>
  <conditionalFormatting sqref="B26">
    <cfRule type="cellIs" dxfId="12" priority="3" operator="between">
      <formula>B25-0.9</formula>
      <formula>B25+0.9</formula>
    </cfRule>
  </conditionalFormatting>
  <conditionalFormatting sqref="B39 D39:G39 B74">
    <cfRule type="cellIs" dxfId="11" priority="31" operator="between">
      <formula>B38-0.9</formula>
      <formula>B38+0.9</formula>
    </cfRule>
  </conditionalFormatting>
  <conditionalFormatting sqref="B61">
    <cfRule type="cellIs" dxfId="10" priority="24" operator="between">
      <formula>B60-0.9</formula>
      <formula>B60+0.9</formula>
    </cfRule>
  </conditionalFormatting>
  <conditionalFormatting sqref="B12:I12">
    <cfRule type="cellIs" dxfId="9" priority="11" operator="between">
      <formula>B10-0.9</formula>
      <formula>B10+0.9</formula>
    </cfRule>
  </conditionalFormatting>
  <conditionalFormatting sqref="D26">
    <cfRule type="cellIs" dxfId="8" priority="2" operator="between">
      <formula>D25-0.9</formula>
      <formula>D25+0.9</formula>
    </cfRule>
  </conditionalFormatting>
  <conditionalFormatting sqref="D61">
    <cfRule type="cellIs" dxfId="7" priority="23" operator="between">
      <formula>D60-0.9</formula>
      <formula>D60+0.9</formula>
    </cfRule>
  </conditionalFormatting>
  <conditionalFormatting sqref="F61">
    <cfRule type="cellIs" dxfId="6" priority="22" operator="between">
      <formula>F60-0.9</formula>
      <formula>F60+0.9</formula>
    </cfRule>
  </conditionalFormatting>
  <conditionalFormatting sqref="H61">
    <cfRule type="cellIs" dxfId="5" priority="10" operator="between">
      <formula>H60-0.9</formula>
      <formula>H60+0.9</formula>
    </cfRule>
  </conditionalFormatting>
  <conditionalFormatting sqref="H26:K26">
    <cfRule type="cellIs" dxfId="4" priority="4" operator="between">
      <formula>H25-0.9</formula>
      <formula>H25+0.9</formula>
    </cfRule>
  </conditionalFormatting>
  <conditionalFormatting sqref="J12">
    <cfRule type="cellIs" dxfId="3" priority="13" operator="between">
      <formula>J10-0.01</formula>
      <formula>J10+0.01</formula>
    </cfRule>
  </conditionalFormatting>
  <conditionalFormatting sqref="K12">
    <cfRule type="cellIs" dxfId="2" priority="63" operator="between">
      <formula>K10-0.9</formula>
      <formula>K10+0.9</formula>
    </cfRule>
  </conditionalFormatting>
  <conditionalFormatting sqref="M26:N26">
    <cfRule type="cellIs" dxfId="1" priority="1" operator="between">
      <formula>M25-0.9</formula>
      <formula>M25+0.9</formula>
    </cfRule>
  </conditionalFormatting>
  <conditionalFormatting sqref="P11:R11">
    <cfRule type="cellIs" dxfId="0" priority="5" operator="between">
      <formula>P10-0.9</formula>
      <formula>P10+0.9</formula>
    </cfRule>
  </conditionalFormatting>
  <dataValidations disablePrompts="1" count="1">
    <dataValidation type="list" allowBlank="1" showInputMessage="1" showErrorMessage="1" sqref="G27" xr:uid="{00000000-0002-0000-1000-000000000000}">
      <formula1>$M$15:$P$15</formula1>
    </dataValidation>
  </dataValidations>
  <pageMargins left="0.31496062992125984" right="0.31496062992125984" top="0.74803149606299213" bottom="0.55118110236220474" header="0.31496062992125984" footer="0.31496062992125984"/>
  <pageSetup paperSize="9" scale="71" fitToHeight="0" orientation="landscape" r:id="rId1"/>
  <headerFooter scaleWithDoc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zoomScale="180" zoomScaleNormal="180" workbookViewId="0">
      <selection activeCell="D28" sqref="D28"/>
    </sheetView>
  </sheetViews>
  <sheetFormatPr defaultColWidth="9.140625" defaultRowHeight="15"/>
  <cols>
    <col min="1" max="1" width="13.140625" style="69" customWidth="1"/>
    <col min="2" max="2" width="14.28515625" style="68" bestFit="1" customWidth="1"/>
    <col min="3" max="3" width="1.28515625" style="68" customWidth="1"/>
    <col min="4" max="4" width="60.7109375" style="78" customWidth="1"/>
    <col min="5" max="16384" width="9.140625" style="44"/>
  </cols>
  <sheetData>
    <row r="1" spans="1:4">
      <c r="A1" s="118" t="s">
        <v>6</v>
      </c>
      <c r="B1" s="119" t="s">
        <v>7</v>
      </c>
      <c r="C1" s="119" t="s">
        <v>8</v>
      </c>
      <c r="D1" s="120" t="s">
        <v>9</v>
      </c>
    </row>
    <row r="2" spans="1:4">
      <c r="A2" s="121" t="s">
        <v>10</v>
      </c>
      <c r="B2" s="119" t="s">
        <v>11</v>
      </c>
      <c r="C2" s="119">
        <v>1</v>
      </c>
      <c r="D2" s="120" t="s">
        <v>12</v>
      </c>
    </row>
    <row r="3" spans="1:4">
      <c r="A3" s="121" t="s">
        <v>10</v>
      </c>
      <c r="B3" s="119" t="s">
        <v>11</v>
      </c>
      <c r="C3" s="119">
        <v>1</v>
      </c>
      <c r="D3" s="120" t="s">
        <v>13</v>
      </c>
    </row>
    <row r="4" spans="1:4">
      <c r="A4" s="121" t="s">
        <v>10</v>
      </c>
      <c r="B4" s="119" t="s">
        <v>14</v>
      </c>
      <c r="C4" s="119">
        <v>2</v>
      </c>
      <c r="D4" s="120" t="s">
        <v>12</v>
      </c>
    </row>
    <row r="5" spans="1:4">
      <c r="A5" s="121" t="s">
        <v>10</v>
      </c>
      <c r="B5" s="119" t="s">
        <v>2</v>
      </c>
      <c r="C5" s="119">
        <v>3</v>
      </c>
      <c r="D5" s="120" t="s">
        <v>12</v>
      </c>
    </row>
    <row r="6" spans="1:4">
      <c r="A6" s="121"/>
      <c r="B6" s="119" t="s">
        <v>2</v>
      </c>
      <c r="C6" s="119">
        <v>3</v>
      </c>
      <c r="D6" s="120" t="s">
        <v>15</v>
      </c>
    </row>
    <row r="7" spans="1:4">
      <c r="A7" s="121" t="s">
        <v>10</v>
      </c>
      <c r="B7" s="119" t="s">
        <v>3</v>
      </c>
      <c r="C7" s="119">
        <v>4</v>
      </c>
      <c r="D7" s="120" t="s">
        <v>16</v>
      </c>
    </row>
    <row r="8" spans="1:4" ht="30">
      <c r="A8" s="121" t="s">
        <v>10</v>
      </c>
      <c r="B8" s="119" t="s">
        <v>3</v>
      </c>
      <c r="C8" s="119">
        <v>4</v>
      </c>
      <c r="D8" s="120" t="s">
        <v>17</v>
      </c>
    </row>
    <row r="9" spans="1:4">
      <c r="A9" s="121" t="s">
        <v>10</v>
      </c>
      <c r="B9" s="119" t="s">
        <v>3</v>
      </c>
      <c r="C9" s="119"/>
      <c r="D9" s="120" t="s">
        <v>658</v>
      </c>
    </row>
    <row r="10" spans="1:4">
      <c r="A10" s="121" t="s">
        <v>10</v>
      </c>
      <c r="B10" s="119" t="s">
        <v>3</v>
      </c>
      <c r="C10" s="119">
        <v>4</v>
      </c>
      <c r="D10" s="120" t="s">
        <v>660</v>
      </c>
    </row>
    <row r="11" spans="1:4">
      <c r="A11" s="121" t="s">
        <v>10</v>
      </c>
      <c r="B11" s="119" t="s">
        <v>3</v>
      </c>
      <c r="C11" s="119">
        <v>4</v>
      </c>
      <c r="D11" s="120" t="s">
        <v>552</v>
      </c>
    </row>
    <row r="12" spans="1:4">
      <c r="A12" s="121"/>
      <c r="B12" s="119" t="s">
        <v>18</v>
      </c>
      <c r="C12" s="119">
        <v>5</v>
      </c>
      <c r="D12" s="120" t="s">
        <v>19</v>
      </c>
    </row>
    <row r="13" spans="1:4">
      <c r="A13" s="121" t="s">
        <v>10</v>
      </c>
      <c r="B13" s="119" t="s">
        <v>18</v>
      </c>
      <c r="C13" s="119">
        <v>5</v>
      </c>
      <c r="D13" s="120" t="s">
        <v>20</v>
      </c>
    </row>
    <row r="14" spans="1:4">
      <c r="A14" s="121" t="s">
        <v>10</v>
      </c>
      <c r="B14" s="119" t="s">
        <v>21</v>
      </c>
      <c r="C14" s="119">
        <v>7</v>
      </c>
      <c r="D14" s="120" t="s">
        <v>22</v>
      </c>
    </row>
    <row r="15" spans="1:4">
      <c r="A15" s="121" t="s">
        <v>10</v>
      </c>
      <c r="B15" s="119" t="s">
        <v>4</v>
      </c>
      <c r="C15" s="119">
        <v>8</v>
      </c>
      <c r="D15" s="120" t="s">
        <v>23</v>
      </c>
    </row>
    <row r="16" spans="1:4">
      <c r="A16" s="121" t="s">
        <v>10</v>
      </c>
      <c r="B16" s="119" t="s">
        <v>4</v>
      </c>
      <c r="C16" s="119">
        <v>8</v>
      </c>
      <c r="D16" s="120" t="s">
        <v>24</v>
      </c>
    </row>
    <row r="17" spans="1:4" ht="30">
      <c r="A17" s="121" t="s">
        <v>10</v>
      </c>
      <c r="B17" s="119" t="s">
        <v>4</v>
      </c>
      <c r="C17" s="119">
        <v>8</v>
      </c>
      <c r="D17" s="120" t="s">
        <v>25</v>
      </c>
    </row>
    <row r="18" spans="1:4">
      <c r="A18" s="121" t="s">
        <v>10</v>
      </c>
      <c r="B18" s="119" t="s">
        <v>4</v>
      </c>
      <c r="C18" s="119"/>
      <c r="D18" s="120" t="s">
        <v>659</v>
      </c>
    </row>
    <row r="19" spans="1:4">
      <c r="A19" s="121" t="s">
        <v>10</v>
      </c>
      <c r="B19" s="119" t="s">
        <v>26</v>
      </c>
      <c r="C19" s="119">
        <v>9</v>
      </c>
      <c r="D19" s="120" t="s">
        <v>27</v>
      </c>
    </row>
    <row r="20" spans="1:4">
      <c r="A20" s="121" t="s">
        <v>10</v>
      </c>
      <c r="B20" s="119" t="s">
        <v>26</v>
      </c>
      <c r="C20" s="119">
        <v>9</v>
      </c>
      <c r="D20" s="120" t="s">
        <v>28</v>
      </c>
    </row>
    <row r="21" spans="1:4">
      <c r="A21" s="121" t="s">
        <v>10</v>
      </c>
      <c r="B21" s="119" t="s">
        <v>626</v>
      </c>
      <c r="C21" s="119">
        <v>10</v>
      </c>
      <c r="D21" s="120" t="s">
        <v>627</v>
      </c>
    </row>
    <row r="22" spans="1:4">
      <c r="A22" s="121" t="s">
        <v>10</v>
      </c>
      <c r="B22" s="119" t="s">
        <v>628</v>
      </c>
      <c r="C22" s="119">
        <v>11</v>
      </c>
      <c r="D22" s="120" t="s">
        <v>629</v>
      </c>
    </row>
    <row r="23" spans="1:4">
      <c r="A23" s="121" t="s">
        <v>10</v>
      </c>
      <c r="B23" s="119" t="s">
        <v>5</v>
      </c>
      <c r="C23" s="119"/>
      <c r="D23" s="120" t="s">
        <v>630</v>
      </c>
    </row>
    <row r="24" spans="1:4">
      <c r="A24" s="121" t="s">
        <v>10</v>
      </c>
      <c r="B24" s="119" t="s">
        <v>5</v>
      </c>
      <c r="C24" s="119"/>
      <c r="D24" s="120" t="s">
        <v>631</v>
      </c>
    </row>
    <row r="25" spans="1:4">
      <c r="A25" s="121" t="s">
        <v>10</v>
      </c>
      <c r="B25" s="119" t="s">
        <v>5</v>
      </c>
      <c r="C25" s="119"/>
      <c r="D25" s="120" t="s">
        <v>632</v>
      </c>
    </row>
    <row r="26" spans="1:4">
      <c r="A26" s="121" t="s">
        <v>10</v>
      </c>
      <c r="B26" s="119" t="s">
        <v>29</v>
      </c>
      <c r="C26" s="119">
        <v>12</v>
      </c>
      <c r="D26" s="120" t="s">
        <v>30</v>
      </c>
    </row>
    <row r="27" spans="1:4">
      <c r="A27" s="121" t="s">
        <v>10</v>
      </c>
      <c r="B27" s="119" t="s">
        <v>29</v>
      </c>
      <c r="C27" s="119">
        <v>12</v>
      </c>
      <c r="D27" s="120" t="s">
        <v>31</v>
      </c>
    </row>
    <row r="28" spans="1:4">
      <c r="A28" s="121" t="s">
        <v>10</v>
      </c>
      <c r="B28" s="119" t="s">
        <v>32</v>
      </c>
      <c r="C28" s="119">
        <v>13</v>
      </c>
      <c r="D28" s="120" t="s">
        <v>33</v>
      </c>
    </row>
    <row r="29" spans="1:4">
      <c r="A29" s="121" t="s">
        <v>10</v>
      </c>
      <c r="B29" s="119" t="s">
        <v>32</v>
      </c>
      <c r="C29" s="119">
        <v>13</v>
      </c>
      <c r="D29" s="120" t="s">
        <v>34</v>
      </c>
    </row>
    <row r="30" spans="1:4">
      <c r="A30" s="121" t="s">
        <v>10</v>
      </c>
      <c r="B30" s="119" t="s">
        <v>32</v>
      </c>
      <c r="C30" s="119">
        <v>13</v>
      </c>
      <c r="D30" s="120" t="s">
        <v>35</v>
      </c>
    </row>
    <row r="31" spans="1:4">
      <c r="A31" s="121" t="s">
        <v>10</v>
      </c>
      <c r="B31" s="119" t="s">
        <v>32</v>
      </c>
      <c r="C31" s="119">
        <v>13</v>
      </c>
      <c r="D31" s="120" t="s">
        <v>36</v>
      </c>
    </row>
    <row r="32" spans="1:4">
      <c r="A32" s="121" t="s">
        <v>10</v>
      </c>
      <c r="B32" s="119" t="s">
        <v>32</v>
      </c>
      <c r="C32" s="119">
        <v>13</v>
      </c>
      <c r="D32" s="120" t="s">
        <v>38</v>
      </c>
    </row>
    <row r="33" spans="1:4">
      <c r="A33" s="121" t="s">
        <v>10</v>
      </c>
      <c r="B33" s="119" t="s">
        <v>37</v>
      </c>
      <c r="C33" s="119">
        <v>13</v>
      </c>
      <c r="D33" s="120" t="s">
        <v>633</v>
      </c>
    </row>
    <row r="34" spans="1:4">
      <c r="A34" s="121" t="s">
        <v>10</v>
      </c>
      <c r="B34" s="119" t="s">
        <v>37</v>
      </c>
      <c r="C34" s="119">
        <v>13</v>
      </c>
      <c r="D34" s="120" t="s">
        <v>39</v>
      </c>
    </row>
    <row r="35" spans="1:4">
      <c r="A35" s="121" t="s">
        <v>10</v>
      </c>
      <c r="B35" s="119" t="s">
        <v>37</v>
      </c>
      <c r="C35" s="119">
        <v>13</v>
      </c>
      <c r="D35" s="120" t="s">
        <v>40</v>
      </c>
    </row>
  </sheetData>
  <autoFilter ref="A1:D35" xr:uid="{00000000-0009-0000-0000-000001000000}"/>
  <conditionalFormatting sqref="A2:A35">
    <cfRule type="cellIs" dxfId="65" priority="1" operator="notEqual">
      <formula>"ok"</formula>
    </cfRule>
    <cfRule type="cellIs" dxfId="64" priority="2" operator="equal">
      <formula>"ok"</formula>
    </cfRule>
  </conditionalFormatting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1"/>
  <sheetViews>
    <sheetView zoomScale="130" zoomScaleNormal="130" workbookViewId="0">
      <pane xSplit="1" ySplit="6" topLeftCell="B7" activePane="bottomRight" state="frozen"/>
      <selection activeCell="A18" sqref="A18:I20"/>
      <selection pane="topRight" activeCell="A18" sqref="A18:I20"/>
      <selection pane="bottomLeft" activeCell="A18" sqref="A18:I20"/>
      <selection pane="bottomRight" activeCell="J21" sqref="J21"/>
    </sheetView>
  </sheetViews>
  <sheetFormatPr defaultColWidth="14.28515625" defaultRowHeight="15.75"/>
  <cols>
    <col min="1" max="1" width="67.7109375" style="1" customWidth="1"/>
    <col min="2" max="3" width="15.7109375" style="1" bestFit="1" customWidth="1"/>
    <col min="4" max="5" width="14.28515625" style="1"/>
    <col min="6" max="6" width="30.28515625" style="1" bestFit="1" customWidth="1"/>
    <col min="7" max="7" width="17.42578125" style="1" bestFit="1" customWidth="1"/>
    <col min="8" max="8" width="15.7109375" style="1" bestFit="1" customWidth="1"/>
    <col min="9" max="9" width="2" style="1" customWidth="1"/>
    <col min="10" max="10" width="15.7109375" style="1" bestFit="1" customWidth="1"/>
    <col min="11" max="11" width="14.28515625" style="1"/>
    <col min="12" max="12" width="12" style="56" bestFit="1" customWidth="1"/>
    <col min="13" max="16384" width="14.28515625" style="1"/>
  </cols>
  <sheetData>
    <row r="1" spans="1:12">
      <c r="A1" s="1" t="s">
        <v>41</v>
      </c>
      <c r="B1" s="1">
        <v>2024</v>
      </c>
      <c r="L1" s="1"/>
    </row>
    <row r="2" spans="1:12">
      <c r="A2" s="1" t="s">
        <v>42</v>
      </c>
      <c r="B2" s="2">
        <v>45399</v>
      </c>
      <c r="L2" s="1"/>
    </row>
    <row r="3" spans="1:12">
      <c r="A3" s="1" t="s">
        <v>623</v>
      </c>
      <c r="B3" s="45">
        <v>2</v>
      </c>
      <c r="K3" s="10">
        <v>2</v>
      </c>
      <c r="L3" s="1"/>
    </row>
    <row r="4" spans="1:12">
      <c r="H4" s="10">
        <v>0</v>
      </c>
      <c r="I4" s="10">
        <v>1</v>
      </c>
      <c r="J4" s="10">
        <v>2</v>
      </c>
      <c r="K4" s="10">
        <v>0</v>
      </c>
      <c r="L4" s="56" t="s">
        <v>43</v>
      </c>
    </row>
    <row r="5" spans="1:12">
      <c r="A5" s="395" t="s">
        <v>44</v>
      </c>
      <c r="B5" s="395"/>
      <c r="C5" s="395"/>
      <c r="D5" s="395"/>
      <c r="F5" s="1" t="str">
        <f>"T1-RD"&amp;Rok&amp;"_RD_"&amp;Rok-1</f>
        <v>T1-RD2024_RD_2023</v>
      </c>
      <c r="G5" s="1" t="s">
        <v>45</v>
      </c>
      <c r="H5" s="1" t="s">
        <v>46</v>
      </c>
      <c r="I5" s="1" t="s">
        <v>46</v>
      </c>
      <c r="J5" s="1" t="s">
        <v>47</v>
      </c>
      <c r="K5" s="1" t="s">
        <v>48</v>
      </c>
      <c r="L5" s="56">
        <v>2</v>
      </c>
    </row>
    <row r="6" spans="1:12">
      <c r="A6" s="122" t="s">
        <v>49</v>
      </c>
      <c r="B6" s="123" t="str">
        <f>"Rok "&amp;Rok</f>
        <v>Rok 2024</v>
      </c>
      <c r="C6" s="123" t="str">
        <f>"Rok "&amp;Rok-1</f>
        <v>Rok 2023</v>
      </c>
      <c r="D6" s="123" t="s">
        <v>48</v>
      </c>
      <c r="E6" s="123" t="s">
        <v>50</v>
      </c>
      <c r="F6" s="10" t="s">
        <v>51</v>
      </c>
      <c r="H6" s="3">
        <f>SUM(H8:H14,H16:H22,H25:H33)-H12</f>
        <v>51766423</v>
      </c>
      <c r="J6" s="3">
        <f>SUM(J8:J14,J16:J22,J25:J33)-J12</f>
        <v>51783701</v>
      </c>
      <c r="K6" s="3">
        <f>HLOOKUP(K$3,H$4:J6,L6)-HLOOKUP(K$4,H$4:J6,L6)</f>
        <v>17278</v>
      </c>
      <c r="L6" s="56">
        <f>L5+1</f>
        <v>3</v>
      </c>
    </row>
    <row r="7" spans="1:12">
      <c r="A7" s="122" t="s">
        <v>52</v>
      </c>
      <c r="B7" s="124">
        <f>HLOOKUP(verzia,H$4:J7,L7)</f>
        <v>41554966</v>
      </c>
      <c r="C7" s="124">
        <v>36495200.289999999</v>
      </c>
      <c r="D7" s="124">
        <f t="shared" ref="D7:D15" si="0">B7-C7</f>
        <v>5059765.7100000009</v>
      </c>
      <c r="E7" s="125">
        <f t="shared" ref="E7:E15" si="1">B7/C7</f>
        <v>1.1386419493465945</v>
      </c>
      <c r="H7" s="257">
        <f>H8+H10+H11+H15</f>
        <v>41809732</v>
      </c>
      <c r="I7" s="257">
        <f>I8+I10+I11+I15</f>
        <v>0</v>
      </c>
      <c r="J7" s="257">
        <f>J8+J10+J11+J15</f>
        <v>41554966</v>
      </c>
      <c r="K7" s="3">
        <f>HLOOKUP(K$3,H$4:J7,L7)-HLOOKUP(K$4,H$4:J7,L7)</f>
        <v>-254766</v>
      </c>
      <c r="L7" s="56">
        <f t="shared" ref="L7:L59" si="2">L6+1</f>
        <v>4</v>
      </c>
    </row>
    <row r="8" spans="1:12">
      <c r="A8" s="122" t="s">
        <v>531</v>
      </c>
      <c r="B8" s="124">
        <f>HLOOKUP(verzia,H$4:J8,L8)</f>
        <v>15429638</v>
      </c>
      <c r="C8" s="124">
        <v>14448030</v>
      </c>
      <c r="D8" s="124">
        <f t="shared" si="0"/>
        <v>981608</v>
      </c>
      <c r="E8" s="125">
        <f t="shared" si="1"/>
        <v>1.0679406119727048</v>
      </c>
      <c r="F8" s="396" t="str">
        <f>zdroj&amp;" - I5"</f>
        <v>T1-RD2024_RD_2023 - I5</v>
      </c>
      <c r="G8" s="27">
        <f>B8-B36-SUM(B47:B49)</f>
        <v>-0.16386099345982075</v>
      </c>
      <c r="H8" s="124">
        <f>18218812-H9</f>
        <v>15616678</v>
      </c>
      <c r="I8" s="124"/>
      <c r="J8" s="124">
        <f>18031772-J9</f>
        <v>15429638</v>
      </c>
      <c r="K8" s="3">
        <f>HLOOKUP(K$3,H$4:J8,L8)-HLOOKUP(K$4,H$4:J8,L8)</f>
        <v>-187040</v>
      </c>
      <c r="L8" s="56">
        <f t="shared" si="2"/>
        <v>5</v>
      </c>
    </row>
    <row r="9" spans="1:12">
      <c r="A9" s="122" t="s">
        <v>53</v>
      </c>
      <c r="B9" s="124">
        <f>HLOOKUP(verzia,H$4:J9,L9)</f>
        <v>2602134</v>
      </c>
      <c r="C9" s="124">
        <v>3374961</v>
      </c>
      <c r="D9" s="124">
        <f t="shared" si="0"/>
        <v>-772827</v>
      </c>
      <c r="E9" s="125"/>
      <c r="F9" s="396"/>
      <c r="G9" s="27"/>
      <c r="H9" s="124">
        <v>2602134</v>
      </c>
      <c r="I9" s="124"/>
      <c r="J9" s="124">
        <v>2602134</v>
      </c>
      <c r="K9" s="3">
        <f>HLOOKUP(K$3,H$4:J9,L9)-HLOOKUP(K$4,H$4:J9,L9)</f>
        <v>0</v>
      </c>
      <c r="L9" s="56">
        <f t="shared" si="2"/>
        <v>6</v>
      </c>
    </row>
    <row r="10" spans="1:12">
      <c r="A10" s="122" t="s">
        <v>532</v>
      </c>
      <c r="B10" s="124">
        <f>HLOOKUP(verzia,H$4:J10,L10)</f>
        <v>6347184</v>
      </c>
      <c r="C10" s="124">
        <v>6273693</v>
      </c>
      <c r="D10" s="124">
        <f t="shared" si="0"/>
        <v>73491</v>
      </c>
      <c r="E10" s="125">
        <f t="shared" si="1"/>
        <v>1.0117141530514802</v>
      </c>
      <c r="F10" s="1" t="str">
        <f>zdroj&amp;" - J5"</f>
        <v>T1-RD2024_RD_2023 - J5</v>
      </c>
      <c r="G10" s="3"/>
      <c r="H10" s="124">
        <v>6413022</v>
      </c>
      <c r="I10" s="124"/>
      <c r="J10" s="124">
        <v>6347184</v>
      </c>
      <c r="K10" s="3">
        <f>HLOOKUP(K$3,H$4:J10,L10)-HLOOKUP(K$4,H$4:J10,L10)</f>
        <v>-65838</v>
      </c>
      <c r="L10" s="56">
        <f t="shared" si="2"/>
        <v>7</v>
      </c>
    </row>
    <row r="11" spans="1:12">
      <c r="A11" s="126" t="s">
        <v>54</v>
      </c>
      <c r="B11" s="124">
        <f>HLOOKUP(verzia,H$4:J11,L11)</f>
        <v>5082816</v>
      </c>
      <c r="C11" s="124">
        <v>3815686</v>
      </c>
      <c r="D11" s="124">
        <f t="shared" si="0"/>
        <v>1267130</v>
      </c>
      <c r="E11" s="125">
        <f t="shared" si="1"/>
        <v>1.3320844534901457</v>
      </c>
      <c r="F11" s="1" t="str">
        <f>zdroj&amp;" - K5"</f>
        <v>T1-RD2024_RD_2023 - K5</v>
      </c>
      <c r="H11" s="124">
        <v>5084326</v>
      </c>
      <c r="I11" s="124"/>
      <c r="J11" s="124">
        <v>5082816</v>
      </c>
      <c r="K11" s="3">
        <f>HLOOKUP(K$3,H$4:J11,L11)-HLOOKUP(K$4,H$4:J11,L11)</f>
        <v>-1510</v>
      </c>
      <c r="L11" s="56">
        <f t="shared" si="2"/>
        <v>8</v>
      </c>
    </row>
    <row r="12" spans="1:12">
      <c r="A12" s="126" t="s">
        <v>634</v>
      </c>
      <c r="B12" s="124">
        <f>HLOOKUP(verzia,H$4:J12,L12)</f>
        <v>95579</v>
      </c>
      <c r="C12" s="124"/>
      <c r="D12" s="124">
        <f t="shared" si="0"/>
        <v>95579</v>
      </c>
      <c r="E12" s="125"/>
      <c r="F12" s="1" t="s">
        <v>635</v>
      </c>
      <c r="H12" s="124">
        <v>95579</v>
      </c>
      <c r="I12" s="124"/>
      <c r="J12" s="124">
        <v>95579</v>
      </c>
      <c r="K12" s="3"/>
      <c r="L12" s="56">
        <f t="shared" si="2"/>
        <v>9</v>
      </c>
    </row>
    <row r="13" spans="1:12">
      <c r="A13" s="126" t="s">
        <v>55</v>
      </c>
      <c r="B13" s="124">
        <f>HLOOKUP(verzia,H$4:J13,L13)</f>
        <v>936435</v>
      </c>
      <c r="C13" s="124">
        <v>890353</v>
      </c>
      <c r="D13" s="124">
        <f t="shared" ref="D13" si="3">B13-C13</f>
        <v>46082</v>
      </c>
      <c r="E13" s="125">
        <f t="shared" ref="E13" si="4">B13/C13</f>
        <v>1.0517569997517839</v>
      </c>
      <c r="F13" s="1" t="str">
        <f>zdroj&amp;" - L5"</f>
        <v>T1-RD2024_RD_2023 - L5</v>
      </c>
      <c r="H13" s="124">
        <v>716192</v>
      </c>
      <c r="I13" s="124"/>
      <c r="J13" s="124">
        <v>936435</v>
      </c>
      <c r="K13" s="3">
        <f>HLOOKUP(K$3,H$4:J13,L13)-HLOOKUP(K$4,H$4:J13,L13)</f>
        <v>220243</v>
      </c>
      <c r="L13" s="56">
        <f t="shared" si="2"/>
        <v>10</v>
      </c>
    </row>
    <row r="14" spans="1:12">
      <c r="A14" s="127" t="s">
        <v>691</v>
      </c>
      <c r="B14" s="124">
        <f>HLOOKUP(verzia,H$4:J14,L14)</f>
        <v>1877102</v>
      </c>
      <c r="C14" s="124"/>
      <c r="D14" s="124">
        <f t="shared" si="0"/>
        <v>1877102</v>
      </c>
      <c r="E14" s="125"/>
      <c r="F14" s="1" t="str">
        <f>zdroj&amp;" - M5"</f>
        <v>T1-RD2024_RD_2023 - M5</v>
      </c>
      <c r="H14" s="124">
        <v>1881611</v>
      </c>
      <c r="I14" s="124"/>
      <c r="J14" s="124">
        <v>1877102</v>
      </c>
      <c r="K14" s="3">
        <f>HLOOKUP(K$3,H$4:J14,L14)-HLOOKUP(K$4,H$4:J14,L14)</f>
        <v>-4509</v>
      </c>
      <c r="L14" s="56">
        <f t="shared" si="2"/>
        <v>11</v>
      </c>
    </row>
    <row r="15" spans="1:12">
      <c r="A15" s="126" t="s">
        <v>56</v>
      </c>
      <c r="B15" s="124">
        <f>HLOOKUP(verzia,H$4:J15,L15)</f>
        <v>14695328</v>
      </c>
      <c r="C15" s="124">
        <v>11957791.289999999</v>
      </c>
      <c r="D15" s="124">
        <f t="shared" si="0"/>
        <v>2737536.7100000009</v>
      </c>
      <c r="E15" s="125">
        <f t="shared" si="1"/>
        <v>1.2289333074653455</v>
      </c>
      <c r="F15" s="1" t="str">
        <f>zdroj&amp;" - O5"</f>
        <v>T1-RD2024_RD_2023 - O5</v>
      </c>
      <c r="H15" s="257">
        <f>H16+H17+H19</f>
        <v>14695706</v>
      </c>
      <c r="I15" s="257">
        <f>I16+I17+I19</f>
        <v>0</v>
      </c>
      <c r="J15" s="257">
        <f>J16+J17+J19</f>
        <v>14695328</v>
      </c>
      <c r="K15" s="3">
        <f>HLOOKUP(K$3,H$4:J15,L15)-HLOOKUP(K$4,H$4:J15,L15)</f>
        <v>-378</v>
      </c>
      <c r="L15" s="56">
        <f t="shared" si="2"/>
        <v>12</v>
      </c>
    </row>
    <row r="16" spans="1:12">
      <c r="A16" s="126" t="s">
        <v>534</v>
      </c>
      <c r="B16" s="124">
        <f>HLOOKUP(verzia,H$4:J16,L16)</f>
        <v>14179742</v>
      </c>
      <c r="C16" s="124">
        <v>11149651</v>
      </c>
      <c r="D16" s="124">
        <f t="shared" ref="D16:D17" si="5">B16-C16</f>
        <v>3030091</v>
      </c>
      <c r="E16" s="125">
        <f t="shared" ref="E16:E17" si="6">B16/C16</f>
        <v>1.2717655467422253</v>
      </c>
      <c r="F16" s="1" t="str">
        <f>zdroj&amp;" - P5"</f>
        <v>T1-RD2024_RD_2023 - P5</v>
      </c>
      <c r="G16" s="27">
        <f>B16+B17-SUM(B50:B59)</f>
        <v>-3.467455692589283E-2</v>
      </c>
      <c r="H16" s="124">
        <f>15115840-H20-H21</f>
        <v>14180120</v>
      </c>
      <c r="I16" s="124"/>
      <c r="J16" s="124">
        <f>15115462-J20-J21</f>
        <v>14179742</v>
      </c>
      <c r="K16" s="3">
        <f>HLOOKUP(K$3,H$4:J16,L16)-HLOOKUP(K$4,H$4:J16,L16)</f>
        <v>-378</v>
      </c>
      <c r="L16" s="56">
        <f t="shared" si="2"/>
        <v>13</v>
      </c>
    </row>
    <row r="17" spans="1:12">
      <c r="A17" s="126" t="s">
        <v>533</v>
      </c>
      <c r="B17" s="124">
        <f>HLOOKUP(verzia,H$4:J17,L17)</f>
        <v>515586</v>
      </c>
      <c r="C17" s="124">
        <v>733140.29</v>
      </c>
      <c r="D17" s="124">
        <f t="shared" si="5"/>
        <v>-217554.29000000004</v>
      </c>
      <c r="E17" s="125">
        <f t="shared" si="6"/>
        <v>0.70325694417912832</v>
      </c>
      <c r="F17" s="1" t="str">
        <f>zdroj&amp;" - Q5"</f>
        <v>T1-RD2024_RD_2023 - Q5</v>
      </c>
      <c r="H17" s="124">
        <v>515586</v>
      </c>
      <c r="I17" s="124"/>
      <c r="J17" s="124">
        <v>515586</v>
      </c>
      <c r="K17" s="3">
        <f>HLOOKUP(K$3,H$4:J17,L17)-HLOOKUP(K$4,H$4:J17,L17)</f>
        <v>0</v>
      </c>
      <c r="L17" s="56">
        <f t="shared" si="2"/>
        <v>14</v>
      </c>
    </row>
    <row r="18" spans="1:12">
      <c r="A18" s="127" t="s">
        <v>549</v>
      </c>
      <c r="B18" s="124">
        <f>HLOOKUP(verzia,H$4:J18,L18)</f>
        <v>1535810</v>
      </c>
      <c r="C18" s="124"/>
      <c r="D18" s="124">
        <f t="shared" ref="D18" si="7">B18-C18</f>
        <v>1535810</v>
      </c>
      <c r="E18" s="125"/>
      <c r="F18" s="1" t="str">
        <f>zdroj&amp;" - R5"</f>
        <v>T1-RD2024_RD_2023 - R5</v>
      </c>
      <c r="H18" s="124">
        <v>1539500</v>
      </c>
      <c r="I18" s="124"/>
      <c r="J18" s="124">
        <v>1535810</v>
      </c>
      <c r="K18" s="3">
        <f>HLOOKUP(K$3,H$4:J18,L18)-HLOOKUP(K$4,H$4:J18,L18)</f>
        <v>-3690</v>
      </c>
      <c r="L18" s="56">
        <f t="shared" si="2"/>
        <v>15</v>
      </c>
    </row>
    <row r="19" spans="1:12" ht="15.75" customHeight="1">
      <c r="A19" s="126" t="s">
        <v>57</v>
      </c>
      <c r="B19" s="124">
        <f>HLOOKUP(verzia,H$4:J19,L19)</f>
        <v>0</v>
      </c>
      <c r="C19" s="124">
        <v>75000</v>
      </c>
      <c r="D19" s="124">
        <f t="shared" ref="D19:D21" si="8">B19-C19</f>
        <v>-75000</v>
      </c>
      <c r="E19" s="125">
        <f t="shared" ref="E19:E21" si="9">B19/C19</f>
        <v>0</v>
      </c>
      <c r="H19" s="124">
        <v>0</v>
      </c>
      <c r="I19" s="124"/>
      <c r="J19" s="124">
        <v>0</v>
      </c>
      <c r="K19" s="3">
        <f>HLOOKUP(K$3,H$4:J19,L19)-HLOOKUP(K$4,H$4:J19,L19)</f>
        <v>0</v>
      </c>
      <c r="L19" s="56">
        <f t="shared" si="2"/>
        <v>16</v>
      </c>
    </row>
    <row r="20" spans="1:12" ht="15.75" customHeight="1">
      <c r="A20" s="127" t="s">
        <v>58</v>
      </c>
      <c r="B20" s="124">
        <f>HLOOKUP(verzia,H$4:J20,L20)</f>
        <v>467621</v>
      </c>
      <c r="C20" s="124">
        <v>617268</v>
      </c>
      <c r="D20" s="124">
        <f t="shared" si="8"/>
        <v>-149647</v>
      </c>
      <c r="E20" s="125">
        <f t="shared" si="9"/>
        <v>0.75756559549498759</v>
      </c>
      <c r="H20" s="124">
        <v>467621</v>
      </c>
      <c r="I20" s="124"/>
      <c r="J20" s="124">
        <v>467621</v>
      </c>
      <c r="K20" s="3"/>
      <c r="L20" s="56">
        <f t="shared" si="2"/>
        <v>17</v>
      </c>
    </row>
    <row r="21" spans="1:12" ht="15.75" customHeight="1">
      <c r="A21" s="127" t="s">
        <v>59</v>
      </c>
      <c r="B21" s="124">
        <f>HLOOKUP(verzia,H$4:J21,L21)</f>
        <v>468099</v>
      </c>
      <c r="C21" s="124">
        <v>630254</v>
      </c>
      <c r="D21" s="124">
        <f t="shared" si="8"/>
        <v>-162155</v>
      </c>
      <c r="E21" s="125">
        <f t="shared" si="9"/>
        <v>0.74271484195260962</v>
      </c>
      <c r="H21" s="124">
        <v>468099</v>
      </c>
      <c r="I21" s="124"/>
      <c r="J21" s="124">
        <v>468099</v>
      </c>
      <c r="K21" s="3">
        <f>HLOOKUP(K$3,H$4:J21,L21)-HLOOKUP(K$4,H$4:J21,L21)</f>
        <v>0</v>
      </c>
      <c r="L21" s="56">
        <f t="shared" si="2"/>
        <v>18</v>
      </c>
    </row>
    <row r="22" spans="1:12" ht="15.75" customHeight="1">
      <c r="A22" s="122" t="s">
        <v>60</v>
      </c>
      <c r="B22" s="124">
        <f>HLOOKUP(verzia,H$4:J22,L22)</f>
        <v>0</v>
      </c>
      <c r="C22" s="124">
        <v>0</v>
      </c>
      <c r="D22" s="124">
        <f>B22-C22</f>
        <v>0</v>
      </c>
      <c r="E22" s="125"/>
      <c r="F22" s="1" t="str">
        <f>zdroj&amp;" - T5"</f>
        <v>T1-RD2024_RD_2023 - T5</v>
      </c>
      <c r="H22" s="124">
        <v>0</v>
      </c>
      <c r="I22" s="124"/>
      <c r="J22" s="124">
        <v>0</v>
      </c>
      <c r="K22" s="3">
        <f>HLOOKUP(K$3,H$4:J22,L22)-HLOOKUP(K$4,H$4:J22,L22)</f>
        <v>0</v>
      </c>
      <c r="L22" s="56">
        <f t="shared" si="2"/>
        <v>19</v>
      </c>
    </row>
    <row r="23" spans="1:12" ht="15.75" customHeight="1">
      <c r="B23" s="38"/>
      <c r="C23" s="38"/>
      <c r="D23" s="3"/>
      <c r="H23" s="124"/>
      <c r="I23" s="124"/>
      <c r="J23" s="124"/>
      <c r="K23" s="3"/>
      <c r="L23" s="56">
        <f t="shared" si="2"/>
        <v>20</v>
      </c>
    </row>
    <row r="24" spans="1:12" ht="15.75" customHeight="1">
      <c r="A24" s="1" t="s">
        <v>61</v>
      </c>
      <c r="B24" s="39"/>
      <c r="C24" s="39"/>
      <c r="H24" s="124"/>
      <c r="I24" s="124"/>
      <c r="J24" s="124"/>
      <c r="K24" s="3"/>
      <c r="L24" s="56">
        <f t="shared" si="2"/>
        <v>21</v>
      </c>
    </row>
    <row r="25" spans="1:12" ht="15.75" customHeight="1">
      <c r="A25" s="122" t="s">
        <v>62</v>
      </c>
      <c r="B25" s="124">
        <f>HLOOKUP(verzia,H$4:J25,L25)</f>
        <v>253205</v>
      </c>
      <c r="C25" s="124">
        <v>264565</v>
      </c>
      <c r="D25" s="124">
        <f>B25-C25</f>
        <v>-11360</v>
      </c>
      <c r="E25" s="125">
        <f>B25/C25</f>
        <v>0.95706159166934401</v>
      </c>
      <c r="F25" s="1" t="str">
        <f>zdroj&amp;" - V5"</f>
        <v>T1-RD2024_RD_2023 - V5</v>
      </c>
      <c r="H25" s="124">
        <v>253205</v>
      </c>
      <c r="I25" s="124"/>
      <c r="J25" s="124">
        <v>253205</v>
      </c>
      <c r="K25" s="3">
        <f>HLOOKUP(K$3,H$4:J25,L25)-HLOOKUP(K$4,H$4:J25,L25)</f>
        <v>0</v>
      </c>
      <c r="L25" s="56">
        <f t="shared" si="2"/>
        <v>22</v>
      </c>
    </row>
    <row r="26" spans="1:12" ht="15.75" customHeight="1">
      <c r="A26" s="122" t="s">
        <v>63</v>
      </c>
      <c r="B26" s="124">
        <f>HLOOKUP(verzia,H$4:J26,L26)</f>
        <v>145350</v>
      </c>
      <c r="C26" s="124">
        <v>143370</v>
      </c>
      <c r="D26" s="124">
        <f t="shared" ref="D26:D33" si="10">B26-C26</f>
        <v>1980</v>
      </c>
      <c r="E26" s="125">
        <f t="shared" ref="E26:E33" si="11">B26/C26</f>
        <v>1.0138104205900815</v>
      </c>
      <c r="F26" s="1" t="str">
        <f>zdroj&amp;" - W5"</f>
        <v>T1-RD2024_RD_2023 - W5</v>
      </c>
      <c r="H26" s="124">
        <v>145350</v>
      </c>
      <c r="I26" s="124"/>
      <c r="J26" s="124">
        <v>145350</v>
      </c>
      <c r="K26" s="3">
        <f>HLOOKUP(K$3,H$4:J26,L26)-HLOOKUP(K$4,H$4:J26,L26)</f>
        <v>0</v>
      </c>
      <c r="L26" s="56">
        <f t="shared" si="2"/>
        <v>23</v>
      </c>
    </row>
    <row r="27" spans="1:12" ht="15.75" customHeight="1">
      <c r="A27" s="122" t="s">
        <v>64</v>
      </c>
      <c r="B27" s="124">
        <f>HLOOKUP(verzia,H$4:J27,L27)</f>
        <v>331400</v>
      </c>
      <c r="C27" s="124">
        <v>328200</v>
      </c>
      <c r="D27" s="124">
        <f t="shared" si="10"/>
        <v>3200</v>
      </c>
      <c r="E27" s="125">
        <f t="shared" si="11"/>
        <v>1.0097501523461303</v>
      </c>
      <c r="F27" s="1" t="str">
        <f>zdroj&amp;" - X5"</f>
        <v>T1-RD2024_RD_2023 - X5</v>
      </c>
      <c r="H27" s="124">
        <v>331400</v>
      </c>
      <c r="I27" s="124"/>
      <c r="J27" s="124">
        <v>331400</v>
      </c>
      <c r="K27" s="3">
        <f>HLOOKUP(K$3,H$4:J27,L27)-HLOOKUP(K$4,H$4:J27,L27)</f>
        <v>0</v>
      </c>
      <c r="L27" s="56">
        <f t="shared" si="2"/>
        <v>24</v>
      </c>
    </row>
    <row r="28" spans="1:12" ht="15.75" customHeight="1">
      <c r="A28" s="122" t="s">
        <v>535</v>
      </c>
      <c r="B28" s="124">
        <f>HLOOKUP(verzia,H$4:J28,L28)</f>
        <v>594736</v>
      </c>
      <c r="C28" s="124">
        <v>530994</v>
      </c>
      <c r="D28" s="124">
        <f t="shared" si="10"/>
        <v>63742</v>
      </c>
      <c r="E28" s="125">
        <f t="shared" si="11"/>
        <v>1.1200427876774501</v>
      </c>
      <c r="F28" s="1" t="str">
        <f>zdroj&amp;" - Z5"</f>
        <v>T1-RD2024_RD_2023 - Z5</v>
      </c>
      <c r="H28" s="124">
        <v>594736</v>
      </c>
      <c r="I28" s="124"/>
      <c r="J28" s="124">
        <v>594736</v>
      </c>
      <c r="K28" s="3">
        <f>HLOOKUP(K$3,H$4:J28,L28)-HLOOKUP(K$4,H$4:J28,L28)</f>
        <v>0</v>
      </c>
      <c r="L28" s="56">
        <f t="shared" si="2"/>
        <v>25</v>
      </c>
    </row>
    <row r="29" spans="1:12" ht="15.75" customHeight="1">
      <c r="A29" s="122" t="s">
        <v>65</v>
      </c>
      <c r="B29" s="124">
        <f>HLOOKUP(verzia,H$4:J29,L29)</f>
        <v>209347</v>
      </c>
      <c r="C29" s="124">
        <v>186910</v>
      </c>
      <c r="D29" s="124">
        <f t="shared" si="10"/>
        <v>22437</v>
      </c>
      <c r="E29" s="125">
        <f t="shared" si="11"/>
        <v>1.1200417313145363</v>
      </c>
      <c r="F29" s="1" t="str">
        <f>zdroj&amp;" - AA5"</f>
        <v>T1-RD2024_RD_2023 - AA5</v>
      </c>
      <c r="H29" s="124">
        <v>209347</v>
      </c>
      <c r="I29" s="124"/>
      <c r="J29" s="124">
        <v>209347</v>
      </c>
      <c r="K29" s="3">
        <f>HLOOKUP(K$3,H$4:J29,L29)-HLOOKUP(K$4,H$4:J29,L29)</f>
        <v>0</v>
      </c>
      <c r="L29" s="56">
        <f t="shared" si="2"/>
        <v>26</v>
      </c>
    </row>
    <row r="30" spans="1:12" ht="15.75" customHeight="1">
      <c r="A30" s="122" t="s">
        <v>66</v>
      </c>
      <c r="B30" s="124">
        <f>HLOOKUP(verzia,H$4:J30,L30)</f>
        <v>458688</v>
      </c>
      <c r="C30" s="124">
        <v>369520</v>
      </c>
      <c r="D30" s="124">
        <f t="shared" si="10"/>
        <v>89168</v>
      </c>
      <c r="E30" s="125">
        <f t="shared" si="11"/>
        <v>1.2413076423468283</v>
      </c>
      <c r="F30" s="1" t="str">
        <f>zdroj&amp;" - AB5"</f>
        <v>T1-RD2024_RD_2023 - AB5</v>
      </c>
      <c r="H30" s="124">
        <v>398688</v>
      </c>
      <c r="I30" s="124"/>
      <c r="J30" s="124">
        <v>458688</v>
      </c>
      <c r="K30" s="3">
        <f>HLOOKUP(K$3,H$4:J30,L30)-HLOOKUP(K$4,H$4:J30,L30)</f>
        <v>60000</v>
      </c>
      <c r="L30" s="56">
        <f t="shared" si="2"/>
        <v>27</v>
      </c>
    </row>
    <row r="31" spans="1:12" ht="15.75" customHeight="1">
      <c r="A31" s="122" t="s">
        <v>67</v>
      </c>
      <c r="B31" s="124">
        <f>HLOOKUP(verzia,H$4:J31,L31)</f>
        <v>293486</v>
      </c>
      <c r="C31" s="124">
        <v>274387</v>
      </c>
      <c r="D31" s="124">
        <f t="shared" si="10"/>
        <v>19099</v>
      </c>
      <c r="E31" s="125">
        <f t="shared" si="11"/>
        <v>1.0696060673428407</v>
      </c>
      <c r="F31" s="1" t="str">
        <f>zdroj&amp;" - AC5"</f>
        <v>T1-RD2024_RD_2023 - AC5</v>
      </c>
      <c r="H31" s="124">
        <v>293486</v>
      </c>
      <c r="I31" s="124"/>
      <c r="J31" s="124">
        <v>293486</v>
      </c>
      <c r="K31" s="3">
        <f>HLOOKUP(K$3,H$4:J31,L31)-HLOOKUP(K$4,H$4:J31,L31)</f>
        <v>0</v>
      </c>
      <c r="L31" s="56">
        <f t="shared" si="2"/>
        <v>28</v>
      </c>
    </row>
    <row r="32" spans="1:12" ht="15.75" customHeight="1">
      <c r="A32" s="122" t="s">
        <v>68</v>
      </c>
      <c r="B32" s="124">
        <f>HLOOKUP(verzia,H$4:J32,L32)</f>
        <v>35505</v>
      </c>
      <c r="C32" s="124">
        <v>35817</v>
      </c>
      <c r="D32" s="124">
        <f t="shared" si="10"/>
        <v>-312</v>
      </c>
      <c r="E32" s="125">
        <f t="shared" si="11"/>
        <v>0.99128905268447942</v>
      </c>
      <c r="F32" s="1" t="str">
        <f>zdroj&amp;" - AD5"</f>
        <v>T1-RD2024_RD_2023 - AD5</v>
      </c>
      <c r="H32" s="124">
        <v>35505</v>
      </c>
      <c r="I32" s="124"/>
      <c r="J32" s="124">
        <v>35505</v>
      </c>
      <c r="K32" s="3">
        <f>HLOOKUP(K$3,H$4:J32,L32)-HLOOKUP(K$4,H$4:J32,L32)</f>
        <v>0</v>
      </c>
      <c r="L32" s="56">
        <f t="shared" si="2"/>
        <v>29</v>
      </c>
    </row>
    <row r="33" spans="1:12" ht="15.75" customHeight="1">
      <c r="A33" s="122" t="s">
        <v>69</v>
      </c>
      <c r="B33" s="124">
        <f>HLOOKUP(verzia,H$4:J33,L33)</f>
        <v>19817</v>
      </c>
      <c r="C33" s="124">
        <v>16996</v>
      </c>
      <c r="D33" s="124">
        <f t="shared" si="10"/>
        <v>2821</v>
      </c>
      <c r="E33" s="125">
        <f t="shared" si="11"/>
        <v>1.1659802306425042</v>
      </c>
      <c r="F33" s="1" t="str">
        <f>zdroj&amp;" - AE5"</f>
        <v>T1-RD2024_RD_2023 - AE5</v>
      </c>
      <c r="H33" s="124">
        <v>19817</v>
      </c>
      <c r="I33" s="124"/>
      <c r="J33" s="124">
        <v>19817</v>
      </c>
      <c r="K33" s="3">
        <f>HLOOKUP(K$3,H$4:J33,L33)-HLOOKUP(K$4,H$4:J33,L33)</f>
        <v>0</v>
      </c>
      <c r="L33" s="56">
        <f t="shared" si="2"/>
        <v>30</v>
      </c>
    </row>
    <row r="34" spans="1:12" ht="15.75" customHeight="1">
      <c r="B34" s="38"/>
      <c r="C34" s="38"/>
      <c r="D34" s="3"/>
      <c r="H34" s="124"/>
      <c r="I34" s="124"/>
      <c r="J34" s="124"/>
      <c r="K34" s="3"/>
      <c r="L34" s="56">
        <f t="shared" si="2"/>
        <v>31</v>
      </c>
    </row>
    <row r="35" spans="1:12" ht="15.75" customHeight="1">
      <c r="A35" s="1" t="s">
        <v>70</v>
      </c>
      <c r="B35" s="39"/>
      <c r="C35" s="39"/>
      <c r="H35" s="124"/>
      <c r="I35" s="124"/>
      <c r="J35" s="124"/>
      <c r="K35" s="3"/>
      <c r="L35" s="56">
        <f t="shared" si="2"/>
        <v>32</v>
      </c>
    </row>
    <row r="36" spans="1:12" ht="15.75" customHeight="1">
      <c r="A36" s="122" t="s">
        <v>689</v>
      </c>
      <c r="B36" s="124">
        <f>B37+B38</f>
        <v>211404.65999999997</v>
      </c>
      <c r="C36" s="124">
        <v>175748.05</v>
      </c>
      <c r="D36" s="124">
        <f t="shared" ref="D36" si="12">B36-C36</f>
        <v>35656.609999999986</v>
      </c>
      <c r="E36" s="125">
        <f t="shared" ref="E36" si="13">B36/C36</f>
        <v>1.2028848115242246</v>
      </c>
      <c r="F36" s="1" t="s">
        <v>71</v>
      </c>
      <c r="H36" s="257">
        <f>H37+H38</f>
        <v>211404.65999999997</v>
      </c>
      <c r="I36" s="257">
        <f>I37+I38</f>
        <v>0</v>
      </c>
      <c r="J36" s="257">
        <f>J37+J38</f>
        <v>211404.65999999997</v>
      </c>
      <c r="K36" s="3">
        <f>HLOOKUP(K$3,H$4:J36,L36)-HLOOKUP(K$4,H$4:J36,L36)</f>
        <v>0</v>
      </c>
      <c r="L36" s="56">
        <f t="shared" si="2"/>
        <v>33</v>
      </c>
    </row>
    <row r="37" spans="1:12" ht="15.75" customHeight="1">
      <c r="A37" s="122" t="s">
        <v>690</v>
      </c>
      <c r="B37" s="124">
        <f>HLOOKUP(verzia,H$4:J37,L37)</f>
        <v>202257.65999999997</v>
      </c>
      <c r="C37" s="124">
        <v>168548.05</v>
      </c>
      <c r="D37" s="124">
        <f t="shared" ref="D37:D43" si="14">B37-C37</f>
        <v>33709.609999999986</v>
      </c>
      <c r="E37" s="125">
        <f t="shared" ref="E37:E42" si="15">B37/C37</f>
        <v>1.2</v>
      </c>
      <c r="F37" s="1" t="s">
        <v>536</v>
      </c>
      <c r="G37" s="3"/>
      <c r="H37" s="124">
        <v>202257.65999999997</v>
      </c>
      <c r="I37" s="124"/>
      <c r="J37" s="124">
        <v>202257.65999999997</v>
      </c>
      <c r="K37" s="3">
        <f>HLOOKUP(K$3,H$4:J37,L37)-HLOOKUP(K$4,H$4:J37,L37)</f>
        <v>0</v>
      </c>
      <c r="L37" s="56">
        <f t="shared" si="2"/>
        <v>34</v>
      </c>
    </row>
    <row r="38" spans="1:12" ht="15.75" customHeight="1">
      <c r="A38" s="122" t="s">
        <v>537</v>
      </c>
      <c r="B38" s="124">
        <f>HLOOKUP(verzia,H$4:J38,L38)</f>
        <v>9147</v>
      </c>
      <c r="C38" s="124">
        <v>7200</v>
      </c>
      <c r="D38" s="124">
        <f t="shared" si="14"/>
        <v>1947</v>
      </c>
      <c r="E38" s="125">
        <f t="shared" si="15"/>
        <v>1.2704166666666667</v>
      </c>
      <c r="F38" s="1" t="s">
        <v>72</v>
      </c>
      <c r="H38" s="124">
        <v>9147</v>
      </c>
      <c r="I38" s="124"/>
      <c r="J38" s="124">
        <v>9147</v>
      </c>
      <c r="K38" s="3">
        <f>HLOOKUP(K$3,H$4:J38,L38)-HLOOKUP(K$4,H$4:J38,L38)</f>
        <v>0</v>
      </c>
      <c r="L38" s="56">
        <f t="shared" si="2"/>
        <v>35</v>
      </c>
    </row>
    <row r="39" spans="1:12" ht="15.75" customHeight="1">
      <c r="A39" s="122" t="s">
        <v>73</v>
      </c>
      <c r="B39" s="124">
        <f>HLOOKUP(verzia,H$4:J39,L39)</f>
        <v>371512</v>
      </c>
      <c r="C39" s="124">
        <v>324695</v>
      </c>
      <c r="D39" s="124">
        <f t="shared" ref="D39" si="16">B39-C39</f>
        <v>46817</v>
      </c>
      <c r="E39" s="125">
        <f t="shared" ref="E39" si="17">B39/C39</f>
        <v>1.1441876222300928</v>
      </c>
      <c r="F39" s="1" t="s">
        <v>71</v>
      </c>
      <c r="H39" s="257">
        <f>SUM(H40:H43)</f>
        <v>372390</v>
      </c>
      <c r="I39" s="257">
        <f>SUM(I40:I43)</f>
        <v>0</v>
      </c>
      <c r="J39" s="257">
        <f>SUM(J40:J43)</f>
        <v>371512</v>
      </c>
      <c r="K39" s="3">
        <f>HLOOKUP(K$3,H$4:J39,L39)-HLOOKUP(K$4,H$4:J39,L39)</f>
        <v>-878</v>
      </c>
      <c r="L39" s="56">
        <f t="shared" si="2"/>
        <v>36</v>
      </c>
    </row>
    <row r="40" spans="1:12" ht="15.75" customHeight="1">
      <c r="A40" s="122" t="s">
        <v>74</v>
      </c>
      <c r="B40" s="124">
        <f>HLOOKUP(verzia,H$4:J40,L40)</f>
        <v>209520</v>
      </c>
      <c r="C40" s="124">
        <v>174600</v>
      </c>
      <c r="D40" s="124">
        <f t="shared" si="14"/>
        <v>34920</v>
      </c>
      <c r="E40" s="125">
        <f t="shared" si="15"/>
        <v>1.2</v>
      </c>
      <c r="F40" s="1" t="s">
        <v>75</v>
      </c>
      <c r="H40" s="124">
        <v>209520</v>
      </c>
      <c r="I40" s="124"/>
      <c r="J40" s="124">
        <v>209520</v>
      </c>
      <c r="K40" s="3">
        <f>HLOOKUP(K$3,H$4:J40,L40)-HLOOKUP(K$4,H$4:J40,L40)</f>
        <v>0</v>
      </c>
      <c r="L40" s="56">
        <f t="shared" si="2"/>
        <v>37</v>
      </c>
    </row>
    <row r="41" spans="1:12" ht="15.75" customHeight="1">
      <c r="A41" s="122" t="s">
        <v>76</v>
      </c>
      <c r="B41" s="124">
        <f>HLOOKUP(verzia,H$4:J41,L41)</f>
        <v>101049</v>
      </c>
      <c r="C41" s="124">
        <v>91369</v>
      </c>
      <c r="D41" s="124">
        <f t="shared" si="14"/>
        <v>9680</v>
      </c>
      <c r="E41" s="125">
        <f t="shared" si="15"/>
        <v>1.1059440291564973</v>
      </c>
      <c r="F41" s="1" t="s">
        <v>77</v>
      </c>
      <c r="H41" s="124">
        <v>101049</v>
      </c>
      <c r="I41" s="124"/>
      <c r="J41" s="124">
        <v>101049</v>
      </c>
      <c r="K41" s="3">
        <f>HLOOKUP(K$3,H$4:J41,L41)-HLOOKUP(K$4,H$4:J41,L41)</f>
        <v>0</v>
      </c>
      <c r="L41" s="56">
        <f t="shared" si="2"/>
        <v>38</v>
      </c>
    </row>
    <row r="42" spans="1:12" ht="15.75" customHeight="1">
      <c r="A42" s="122" t="s">
        <v>78</v>
      </c>
      <c r="B42" s="124">
        <f>HLOOKUP(verzia,H$4:J42,L42)</f>
        <v>2138</v>
      </c>
      <c r="C42" s="124">
        <v>4161</v>
      </c>
      <c r="D42" s="124">
        <f t="shared" si="14"/>
        <v>-2023</v>
      </c>
      <c r="E42" s="125">
        <f t="shared" si="15"/>
        <v>0.51381879355924054</v>
      </c>
      <c r="F42" s="1" t="s">
        <v>79</v>
      </c>
      <c r="H42" s="124">
        <v>2138</v>
      </c>
      <c r="I42" s="124"/>
      <c r="J42" s="124">
        <v>2138</v>
      </c>
      <c r="K42" s="3">
        <f>HLOOKUP(K$3,H$4:J42,L42)-HLOOKUP(K$4,H$4:J42,L42)</f>
        <v>0</v>
      </c>
      <c r="L42" s="56">
        <f t="shared" si="2"/>
        <v>39</v>
      </c>
    </row>
    <row r="43" spans="1:12" ht="15.75" customHeight="1">
      <c r="A43" s="122" t="s">
        <v>80</v>
      </c>
      <c r="B43" s="124">
        <f>HLOOKUP(verzia,H$4:J43,L43)</f>
        <v>58805</v>
      </c>
      <c r="C43" s="124">
        <v>54565</v>
      </c>
      <c r="D43" s="124">
        <f t="shared" si="14"/>
        <v>4240</v>
      </c>
      <c r="E43" s="125">
        <f>B43/C43</f>
        <v>1.0777054888664894</v>
      </c>
      <c r="F43" s="1" t="s">
        <v>81</v>
      </c>
      <c r="H43" s="124">
        <v>59683</v>
      </c>
      <c r="I43" s="124"/>
      <c r="J43" s="124">
        <v>58805</v>
      </c>
      <c r="K43" s="3">
        <f>HLOOKUP(K$3,H$4:J43,L43)-HLOOKUP(K$4,H$4:J43,L43)</f>
        <v>-878</v>
      </c>
      <c r="L43" s="56">
        <f t="shared" si="2"/>
        <v>40</v>
      </c>
    </row>
    <row r="44" spans="1:12" ht="15.75" customHeight="1">
      <c r="A44" s="74"/>
      <c r="B44" s="3"/>
      <c r="C44" s="75"/>
      <c r="D44" s="3"/>
      <c r="E44" s="3"/>
      <c r="H44" s="124"/>
      <c r="I44" s="124"/>
      <c r="J44" s="124"/>
      <c r="K44" s="3"/>
      <c r="L44" s="56">
        <f t="shared" si="2"/>
        <v>41</v>
      </c>
    </row>
    <row r="45" spans="1:12" ht="15.75" customHeight="1">
      <c r="H45" s="124"/>
      <c r="I45" s="124"/>
      <c r="J45" s="124"/>
      <c r="K45" s="3"/>
      <c r="L45" s="56">
        <f t="shared" si="2"/>
        <v>42</v>
      </c>
    </row>
    <row r="46" spans="1:12" ht="15.75" customHeight="1">
      <c r="A46" s="1" t="s">
        <v>82</v>
      </c>
      <c r="B46" s="39"/>
      <c r="C46" s="39"/>
      <c r="H46" s="124"/>
      <c r="I46" s="124"/>
      <c r="J46" s="124"/>
      <c r="K46" s="3"/>
      <c r="L46" s="56">
        <f t="shared" si="2"/>
        <v>43</v>
      </c>
    </row>
    <row r="47" spans="1:12" ht="15.75" customHeight="1">
      <c r="A47" s="122" t="s">
        <v>620</v>
      </c>
      <c r="B47" s="124">
        <f>HLOOKUP(verzia,H$4:J47,L47)</f>
        <v>13360141</v>
      </c>
      <c r="C47" s="124">
        <v>11881900</v>
      </c>
      <c r="D47" s="124">
        <f t="shared" ref="D47:D59" si="18">B47-C47</f>
        <v>1478241</v>
      </c>
      <c r="E47" s="125">
        <f t="shared" ref="E47:E58" si="19">B47/C47</f>
        <v>1.1244111631978051</v>
      </c>
      <c r="F47" s="1" t="s">
        <v>83</v>
      </c>
      <c r="H47" s="124">
        <v>13359787</v>
      </c>
      <c r="I47" s="124"/>
      <c r="J47" s="124">
        <v>13360141</v>
      </c>
      <c r="K47" s="3">
        <f>HLOOKUP(K$3,H$4:J47,L47)-HLOOKUP(K$4,H$4:J47,L47)</f>
        <v>354</v>
      </c>
      <c r="L47" s="56">
        <f t="shared" si="2"/>
        <v>44</v>
      </c>
    </row>
    <row r="48" spans="1:12" ht="15.75" customHeight="1">
      <c r="A48" s="122" t="s">
        <v>622</v>
      </c>
      <c r="B48" s="124">
        <f>HLOOKUP(verzia,H$4:J48,L48)</f>
        <v>1856710.914682199</v>
      </c>
      <c r="C48" s="124">
        <v>2390381.6024272875</v>
      </c>
      <c r="D48" s="110">
        <f>B48+B49-C48</f>
        <v>-532289.09856629395</v>
      </c>
      <c r="E48" s="111">
        <f t="shared" si="19"/>
        <v>0.77674247191194146</v>
      </c>
      <c r="F48" s="1" t="s">
        <v>84</v>
      </c>
      <c r="H48" s="124">
        <v>2045486.665302366</v>
      </c>
      <c r="I48" s="124"/>
      <c r="J48" s="124">
        <v>1856710.914682199</v>
      </c>
      <c r="K48" s="3">
        <f>HLOOKUP(K$3,H$4:J48,L48)-HLOOKUP(K$4,H$4:J48,L48)</f>
        <v>-188775.750620167</v>
      </c>
      <c r="L48" s="56">
        <f t="shared" si="2"/>
        <v>45</v>
      </c>
    </row>
    <row r="49" spans="1:12" ht="15.75" customHeight="1">
      <c r="A49" s="122" t="s">
        <v>621</v>
      </c>
      <c r="B49" s="124">
        <f>HLOOKUP(verzia,H$4:J49,L49)</f>
        <v>1381.5891787945188</v>
      </c>
      <c r="C49" s="124">
        <v>0</v>
      </c>
      <c r="D49" s="110">
        <f>B49-C49</f>
        <v>1381.5891787945188</v>
      </c>
      <c r="E49" s="111"/>
      <c r="F49" s="1" t="s">
        <v>85</v>
      </c>
      <c r="H49" s="124">
        <v>0</v>
      </c>
      <c r="I49" s="124"/>
      <c r="J49" s="124">
        <v>1381.5891787945188</v>
      </c>
      <c r="K49" s="3">
        <f>HLOOKUP(K$3,H$4:J49,L49)-HLOOKUP(K$4,H$4:J49,L49)</f>
        <v>1381.5891787945188</v>
      </c>
      <c r="L49" s="56">
        <f t="shared" si="2"/>
        <v>46</v>
      </c>
    </row>
    <row r="50" spans="1:12">
      <c r="A50" s="126" t="s">
        <v>538</v>
      </c>
      <c r="B50" s="124">
        <f>HLOOKUP(verzia,H$4:J50,L50)</f>
        <v>197204</v>
      </c>
      <c r="C50" s="124">
        <v>733140.29</v>
      </c>
      <c r="D50" s="397">
        <f>B50+B51-C50</f>
        <v>-20350.290000000037</v>
      </c>
      <c r="E50" s="393">
        <f>(B50+B51)/C50</f>
        <v>0.97224229758263592</v>
      </c>
      <c r="F50" s="1" t="s">
        <v>539</v>
      </c>
      <c r="H50" s="124">
        <v>197204</v>
      </c>
      <c r="I50" s="124"/>
      <c r="J50" s="124">
        <v>197204</v>
      </c>
      <c r="K50" s="3">
        <f>HLOOKUP(K$3,H$4:J50,L50)-HLOOKUP(K$4,H$4:J50,L50)</f>
        <v>0</v>
      </c>
      <c r="L50" s="56">
        <f t="shared" si="2"/>
        <v>47</v>
      </c>
    </row>
    <row r="51" spans="1:12">
      <c r="A51" s="127" t="s">
        <v>547</v>
      </c>
      <c r="B51" s="124">
        <f>HLOOKUP(verzia,H$4:J51,L51)</f>
        <v>515586</v>
      </c>
      <c r="C51" s="124"/>
      <c r="D51" s="398"/>
      <c r="E51" s="394"/>
      <c r="F51" s="1" t="s">
        <v>548</v>
      </c>
      <c r="H51" s="124">
        <f>712790-H50</f>
        <v>515586</v>
      </c>
      <c r="I51" s="124"/>
      <c r="J51" s="124">
        <f>712790-J50</f>
        <v>515586</v>
      </c>
      <c r="K51" s="3"/>
      <c r="L51" s="56">
        <f t="shared" si="2"/>
        <v>48</v>
      </c>
    </row>
    <row r="52" spans="1:12">
      <c r="A52" s="122" t="s">
        <v>546</v>
      </c>
      <c r="B52" s="124">
        <f>HLOOKUP(verzia,H$4:J52,L52)</f>
        <v>0</v>
      </c>
      <c r="C52" s="124">
        <v>0</v>
      </c>
      <c r="D52" s="391">
        <f>B52+B53-C52-C53</f>
        <v>3010664.4492294919</v>
      </c>
      <c r="E52" s="393">
        <f>(B52+B53)/(C52+C53)</f>
        <v>1.7309780753382835</v>
      </c>
      <c r="F52" s="1" t="s">
        <v>86</v>
      </c>
      <c r="H52" s="124">
        <v>0</v>
      </c>
      <c r="I52" s="124"/>
      <c r="J52" s="124">
        <v>0</v>
      </c>
      <c r="K52" s="3">
        <f>HLOOKUP(K$3,H$4:J52,L52)-HLOOKUP(K$4,H$4:J52,L52)</f>
        <v>0</v>
      </c>
      <c r="L52" s="56">
        <f>L51+1</f>
        <v>49</v>
      </c>
    </row>
    <row r="53" spans="1:12">
      <c r="A53" s="126" t="s">
        <v>545</v>
      </c>
      <c r="B53" s="124">
        <f>HLOOKUP(verzia,H$4:J53,L53)</f>
        <v>7129343.9976362083</v>
      </c>
      <c r="C53" s="124">
        <v>4118679.5484067164</v>
      </c>
      <c r="D53" s="392"/>
      <c r="E53" s="394"/>
      <c r="F53" s="1" t="s">
        <v>87</v>
      </c>
      <c r="H53" s="124">
        <v>7129343.9976362083</v>
      </c>
      <c r="I53" s="124"/>
      <c r="J53" s="124">
        <v>7129343.9976362083</v>
      </c>
      <c r="K53" s="3">
        <f>HLOOKUP(K$3,H$4:J53,L53)-HLOOKUP(K$4,H$4:J53,L53)</f>
        <v>0</v>
      </c>
      <c r="L53" s="56">
        <f t="shared" si="2"/>
        <v>50</v>
      </c>
    </row>
    <row r="54" spans="1:12">
      <c r="A54" s="122" t="s">
        <v>617</v>
      </c>
      <c r="B54" s="124">
        <f>HLOOKUP(verzia,H$4:J54,L54)</f>
        <v>1156884.9977531009</v>
      </c>
      <c r="C54" s="124">
        <v>1183474.0828816469</v>
      </c>
      <c r="D54" s="110">
        <f t="shared" ref="D54:D55" si="20">B54-C54</f>
        <v>-26589.085128545994</v>
      </c>
      <c r="E54" s="111">
        <f>B54/C54</f>
        <v>0.97753302289154986</v>
      </c>
      <c r="F54" s="1" t="s">
        <v>540</v>
      </c>
      <c r="H54" s="124">
        <v>1156884.9977531009</v>
      </c>
      <c r="I54" s="124"/>
      <c r="J54" s="124">
        <v>1156884.9977531009</v>
      </c>
      <c r="K54" s="3">
        <f>HLOOKUP(K$3,H$4:J54,L54)-HLOOKUP(K$4,H$4:J54,L54)</f>
        <v>0</v>
      </c>
      <c r="L54" s="56">
        <f t="shared" si="2"/>
        <v>51</v>
      </c>
    </row>
    <row r="55" spans="1:12">
      <c r="A55" s="122" t="s">
        <v>618</v>
      </c>
      <c r="B55" s="124">
        <f>HLOOKUP(verzia,H$4:J55,L55)</f>
        <v>107255.31271925397</v>
      </c>
      <c r="C55" s="124">
        <v>63359.577064366946</v>
      </c>
      <c r="D55" s="110">
        <f t="shared" si="20"/>
        <v>43895.735654887023</v>
      </c>
      <c r="E55" s="125">
        <f t="shared" si="19"/>
        <v>1.6928034827362148</v>
      </c>
      <c r="F55" s="1" t="s">
        <v>541</v>
      </c>
      <c r="H55" s="124">
        <v>107255.31271925397</v>
      </c>
      <c r="I55" s="124"/>
      <c r="J55" s="124">
        <v>107255.31271925397</v>
      </c>
      <c r="K55" s="3">
        <f>HLOOKUP(K$3,H$4:J55,L55)-HLOOKUP(K$4,H$4:J55,L55)</f>
        <v>0</v>
      </c>
      <c r="L55" s="56">
        <f t="shared" si="2"/>
        <v>52</v>
      </c>
    </row>
    <row r="56" spans="1:12">
      <c r="A56" s="122" t="s">
        <v>619</v>
      </c>
      <c r="B56" s="124">
        <f>HLOOKUP(verzia,H$4:J56,L56)</f>
        <v>651626.88162580435</v>
      </c>
      <c r="C56" s="124">
        <v>632720.64994057047</v>
      </c>
      <c r="D56" s="124">
        <f t="shared" si="18"/>
        <v>18906.231685233884</v>
      </c>
      <c r="E56" s="125">
        <f t="shared" si="19"/>
        <v>1.0298808513472884</v>
      </c>
      <c r="F56" s="1" t="s">
        <v>542</v>
      </c>
      <c r="H56" s="124">
        <v>652005.10887973546</v>
      </c>
      <c r="I56" s="124"/>
      <c r="J56" s="124">
        <v>651626.88162580435</v>
      </c>
      <c r="K56" s="3">
        <f>HLOOKUP(K$3,H$4:J56,L56)-HLOOKUP(K$4,H$4:J56,L56)</f>
        <v>-378.22725393110886</v>
      </c>
      <c r="L56" s="56">
        <f t="shared" si="2"/>
        <v>53</v>
      </c>
    </row>
    <row r="57" spans="1:12">
      <c r="A57" s="122" t="s">
        <v>616</v>
      </c>
      <c r="B57" s="124">
        <f>HLOOKUP(verzia,H$4:J57,L57)</f>
        <v>1537874.0640375256</v>
      </c>
      <c r="C57" s="124">
        <v>1421681.1427094105</v>
      </c>
      <c r="D57" s="124">
        <f t="shared" si="18"/>
        <v>116192.92132811504</v>
      </c>
      <c r="E57" s="125">
        <f t="shared" si="19"/>
        <v>1.0817292414153268</v>
      </c>
      <c r="F57" s="1" t="s">
        <v>543</v>
      </c>
      <c r="H57" s="124">
        <v>1537874.0640375256</v>
      </c>
      <c r="I57" s="124"/>
      <c r="J57" s="124">
        <v>1537874.0640375256</v>
      </c>
      <c r="K57" s="3">
        <f>HLOOKUP(K$3,H$4:J57,L57)-HLOOKUP(K$4,H$4:J57,L57)</f>
        <v>0</v>
      </c>
      <c r="L57" s="56">
        <f t="shared" si="2"/>
        <v>54</v>
      </c>
    </row>
    <row r="58" spans="1:12">
      <c r="A58" s="122" t="s">
        <v>614</v>
      </c>
      <c r="B58" s="124">
        <f>HLOOKUP(verzia,H$4:J58,L58)</f>
        <v>3397253.8526802831</v>
      </c>
      <c r="C58" s="124">
        <v>3729736.0965783326</v>
      </c>
      <c r="D58" s="124">
        <f t="shared" si="18"/>
        <v>-332482.24389804946</v>
      </c>
      <c r="E58" s="125">
        <f t="shared" si="19"/>
        <v>0.91085636214233245</v>
      </c>
      <c r="F58" s="1" t="s">
        <v>88</v>
      </c>
      <c r="H58" s="124">
        <v>3397253.8526802831</v>
      </c>
      <c r="I58" s="124"/>
      <c r="J58" s="124">
        <v>3397253.8526802831</v>
      </c>
      <c r="K58" s="3">
        <f>HLOOKUP(K$3,H$4:J58,L58)-HLOOKUP(K$4,H$4:J58,L58)</f>
        <v>0</v>
      </c>
      <c r="L58" s="56">
        <f t="shared" si="2"/>
        <v>55</v>
      </c>
    </row>
    <row r="59" spans="1:12">
      <c r="A59" s="122" t="s">
        <v>615</v>
      </c>
      <c r="B59" s="124">
        <f>HLOOKUP(verzia,H$4:J59,L59)</f>
        <v>2298.9282223810119</v>
      </c>
      <c r="C59" s="124">
        <v>0</v>
      </c>
      <c r="D59" s="124">
        <f t="shared" si="18"/>
        <v>2298.9282223810119</v>
      </c>
      <c r="E59" s="125"/>
      <c r="F59" s="1" t="s">
        <v>544</v>
      </c>
      <c r="H59" s="124">
        <v>2298.9282223810119</v>
      </c>
      <c r="I59" s="124"/>
      <c r="J59" s="124">
        <v>2298.9282223810119</v>
      </c>
      <c r="K59" s="3">
        <f>HLOOKUP(K$3,H$4:J59,L59)-HLOOKUP(K$4,H$4:J59,L59)</f>
        <v>0</v>
      </c>
      <c r="L59" s="56">
        <f t="shared" si="2"/>
        <v>56</v>
      </c>
    </row>
    <row r="61" spans="1:12">
      <c r="B61" s="3"/>
      <c r="C61" s="3"/>
    </row>
  </sheetData>
  <mergeCells count="6">
    <mergeCell ref="D52:D53"/>
    <mergeCell ref="E52:E53"/>
    <mergeCell ref="A5:D5"/>
    <mergeCell ref="F8:F9"/>
    <mergeCell ref="D50:D51"/>
    <mergeCell ref="E50:E51"/>
  </mergeCells>
  <conditionalFormatting sqref="D7:D23">
    <cfRule type="cellIs" dxfId="63" priority="4" operator="greaterThan">
      <formula>0</formula>
    </cfRule>
    <cfRule type="cellIs" dxfId="62" priority="5" operator="lessThan">
      <formula>0</formula>
    </cfRule>
  </conditionalFormatting>
  <conditionalFormatting sqref="D25:D34">
    <cfRule type="cellIs" dxfId="61" priority="78" operator="greaterThan">
      <formula>0</formula>
    </cfRule>
    <cfRule type="cellIs" dxfId="60" priority="79" operator="lessThan">
      <formula>0</formula>
    </cfRule>
  </conditionalFormatting>
  <conditionalFormatting sqref="D36:D44">
    <cfRule type="cellIs" dxfId="59" priority="28" operator="greaterThan">
      <formula>0</formula>
    </cfRule>
    <cfRule type="cellIs" dxfId="58" priority="29" operator="lessThan">
      <formula>0</formula>
    </cfRule>
  </conditionalFormatting>
  <conditionalFormatting sqref="D47:D50">
    <cfRule type="cellIs" dxfId="57" priority="12" operator="greaterThan">
      <formula>0</formula>
    </cfRule>
    <cfRule type="cellIs" dxfId="56" priority="13" operator="lessThan">
      <formula>0</formula>
    </cfRule>
  </conditionalFormatting>
  <conditionalFormatting sqref="D52">
    <cfRule type="cellIs" dxfId="55" priority="11" operator="lessThan">
      <formula>0</formula>
    </cfRule>
    <cfRule type="cellIs" dxfId="54" priority="10" operator="greaterThan">
      <formula>0</formula>
    </cfRule>
  </conditionalFormatting>
  <conditionalFormatting sqref="D54:D59">
    <cfRule type="cellIs" dxfId="53" priority="83" operator="lessThan">
      <formula>0</formula>
    </cfRule>
    <cfRule type="cellIs" dxfId="52" priority="82" operator="greaterThan">
      <formula>0</formula>
    </cfRule>
  </conditionalFormatting>
  <conditionalFormatting sqref="E7:E22">
    <cfRule type="cellIs" dxfId="51" priority="3" operator="greaterThan">
      <formula>1</formula>
    </cfRule>
    <cfRule type="cellIs" dxfId="50" priority="2" operator="lessThan">
      <formula>1</formula>
    </cfRule>
  </conditionalFormatting>
  <conditionalFormatting sqref="E25:E33">
    <cfRule type="cellIs" dxfId="49" priority="76" operator="lessThan">
      <formula>1</formula>
    </cfRule>
    <cfRule type="cellIs" dxfId="48" priority="77" operator="greaterThan">
      <formula>1</formula>
    </cfRule>
  </conditionalFormatting>
  <conditionalFormatting sqref="E36:E43">
    <cfRule type="cellIs" dxfId="47" priority="27" operator="greaterThan">
      <formula>1</formula>
    </cfRule>
    <cfRule type="cellIs" dxfId="46" priority="26" operator="lessThan">
      <formula>1</formula>
    </cfRule>
  </conditionalFormatting>
  <conditionalFormatting sqref="E44">
    <cfRule type="cellIs" dxfId="45" priority="30" operator="greaterThan">
      <formula>0</formula>
    </cfRule>
    <cfRule type="cellIs" dxfId="44" priority="31" operator="lessThan">
      <formula>0</formula>
    </cfRule>
  </conditionalFormatting>
  <conditionalFormatting sqref="E47:E50">
    <cfRule type="cellIs" dxfId="43" priority="9" operator="greaterThan">
      <formula>1</formula>
    </cfRule>
    <cfRule type="cellIs" dxfId="42" priority="8" operator="lessThan">
      <formula>1</formula>
    </cfRule>
  </conditionalFormatting>
  <conditionalFormatting sqref="E52">
    <cfRule type="cellIs" dxfId="41" priority="7" operator="greaterThan">
      <formula>1</formula>
    </cfRule>
    <cfRule type="cellIs" dxfId="40" priority="6" operator="lessThan">
      <formula>1</formula>
    </cfRule>
  </conditionalFormatting>
  <conditionalFormatting sqref="E54:E59">
    <cfRule type="cellIs" dxfId="39" priority="80" operator="lessThan">
      <formula>1</formula>
    </cfRule>
    <cfRule type="cellIs" dxfId="38" priority="81" operator="greaterThan">
      <formula>1</formula>
    </cfRule>
  </conditionalFormatting>
  <conditionalFormatting sqref="G4:G1048576">
    <cfRule type="cellIs" dxfId="37" priority="1" operator="notEqual">
      <formula>0</formula>
    </cfRule>
  </conditionalFormatting>
  <pageMargins left="0.31496062992125984" right="0.31496062992125984" top="0.74803149606299213" bottom="0.55118110236220474" header="0.31496062992125984" footer="0.31496062992125984"/>
  <pageSetup paperSize="9" scale="91" fitToHeight="0" orientation="landscape" r:id="rId1"/>
  <headerFooter scaleWithDoc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E39"/>
  <sheetViews>
    <sheetView zoomScale="130" zoomScaleNormal="130" workbookViewId="0">
      <selection activeCell="B25" sqref="B25"/>
    </sheetView>
  </sheetViews>
  <sheetFormatPr defaultColWidth="14.28515625" defaultRowHeight="15.75"/>
  <cols>
    <col min="1" max="1" width="72.28515625" style="4" bestFit="1" customWidth="1"/>
    <col min="2" max="3" width="14.28515625" style="4" customWidth="1"/>
    <col min="4" max="16384" width="14.28515625" style="4"/>
  </cols>
  <sheetData>
    <row r="1" spans="1:5">
      <c r="A1" s="399" t="s">
        <v>89</v>
      </c>
      <c r="B1" s="399"/>
      <c r="C1" s="399"/>
      <c r="D1" s="399"/>
    </row>
    <row r="2" spans="1:5">
      <c r="A2" s="128"/>
      <c r="B2" s="129" t="str">
        <f>"Rok "&amp;Rok</f>
        <v>Rok 2024</v>
      </c>
      <c r="C2" s="129" t="str">
        <f>"Rok "&amp;Rok-1</f>
        <v>Rok 2023</v>
      </c>
      <c r="D2" s="129" t="s">
        <v>48</v>
      </c>
      <c r="E2" s="129" t="s">
        <v>50</v>
      </c>
    </row>
    <row r="3" spans="1:5">
      <c r="A3" s="128" t="s">
        <v>90</v>
      </c>
      <c r="B3" s="327">
        <v>0.13</v>
      </c>
      <c r="C3" s="130">
        <v>0.108</v>
      </c>
      <c r="D3" s="307">
        <f t="shared" ref="D3:D20" si="0">B3-C3</f>
        <v>2.2000000000000006E-2</v>
      </c>
      <c r="E3" s="307">
        <f t="shared" ref="E3:E32" si="1">B3/C3</f>
        <v>1.2037037037037037</v>
      </c>
    </row>
    <row r="4" spans="1:5">
      <c r="A4" s="128" t="s">
        <v>91</v>
      </c>
      <c r="B4" s="327">
        <v>0.03</v>
      </c>
      <c r="C4" s="130">
        <v>2.5000000000000001E-2</v>
      </c>
      <c r="D4" s="307">
        <f t="shared" si="0"/>
        <v>4.9999999999999975E-3</v>
      </c>
      <c r="E4" s="307">
        <f t="shared" si="1"/>
        <v>1.2</v>
      </c>
    </row>
    <row r="5" spans="1:5">
      <c r="A5" s="133" t="s">
        <v>92</v>
      </c>
      <c r="B5" s="280">
        <v>200</v>
      </c>
      <c r="C5" s="280">
        <v>200</v>
      </c>
      <c r="D5" s="137">
        <f t="shared" ref="D5:D8" si="2">B5-C5</f>
        <v>0</v>
      </c>
      <c r="E5" s="307"/>
    </row>
    <row r="6" spans="1:5">
      <c r="A6" s="133" t="s">
        <v>93</v>
      </c>
      <c r="B6" s="280">
        <v>300</v>
      </c>
      <c r="C6" s="280">
        <v>300</v>
      </c>
      <c r="D6" s="137">
        <f t="shared" si="2"/>
        <v>0</v>
      </c>
      <c r="E6" s="307"/>
    </row>
    <row r="7" spans="1:5">
      <c r="A7" s="133" t="s">
        <v>94</v>
      </c>
      <c r="B7" s="280">
        <v>400</v>
      </c>
      <c r="C7" s="280">
        <v>400</v>
      </c>
      <c r="D7" s="137">
        <f t="shared" si="2"/>
        <v>0</v>
      </c>
      <c r="E7" s="307"/>
    </row>
    <row r="8" spans="1:5">
      <c r="A8" s="133" t="s">
        <v>95</v>
      </c>
      <c r="B8" s="280">
        <v>500</v>
      </c>
      <c r="C8" s="280">
        <v>500</v>
      </c>
      <c r="D8" s="137">
        <f t="shared" si="2"/>
        <v>0</v>
      </c>
      <c r="E8" s="307"/>
    </row>
    <row r="9" spans="1:5">
      <c r="A9" s="133" t="s">
        <v>96</v>
      </c>
      <c r="B9" s="281">
        <v>0</v>
      </c>
      <c r="C9" s="280">
        <v>50000</v>
      </c>
      <c r="D9" s="137">
        <f>B9-C9</f>
        <v>-50000</v>
      </c>
      <c r="E9" s="307"/>
    </row>
    <row r="10" spans="1:5">
      <c r="A10" s="133" t="s">
        <v>97</v>
      </c>
      <c r="B10" s="134">
        <v>0.95</v>
      </c>
      <c r="C10" s="130">
        <v>0.92</v>
      </c>
      <c r="D10" s="307">
        <f t="shared" ref="D10" si="3">B10-C10</f>
        <v>2.9999999999999916E-2</v>
      </c>
      <c r="E10" s="307">
        <f t="shared" si="1"/>
        <v>1.0326086956521738</v>
      </c>
    </row>
    <row r="11" spans="1:5">
      <c r="A11" s="133" t="s">
        <v>98</v>
      </c>
      <c r="B11" s="135">
        <v>0.5</v>
      </c>
      <c r="C11" s="130">
        <v>0.5</v>
      </c>
      <c r="D11" s="307">
        <f t="shared" ref="D11" si="4">B11-C11</f>
        <v>0</v>
      </c>
      <c r="E11" s="307">
        <f t="shared" ref="E11" si="5">B11/C11</f>
        <v>1</v>
      </c>
    </row>
    <row r="12" spans="1:5">
      <c r="A12" s="133" t="str">
        <f>"07711 - TaS - presun z úpravy bežnej dotácie z roku "&amp;Rok-1</f>
        <v>07711 - TaS - presun z úpravy bežnej dotácie z roku 2023</v>
      </c>
      <c r="B12" s="358">
        <v>0</v>
      </c>
      <c r="C12" s="136">
        <v>44422</v>
      </c>
      <c r="D12" s="137">
        <f t="shared" si="0"/>
        <v>-44422</v>
      </c>
      <c r="E12" s="307">
        <f>B12/C12</f>
        <v>0</v>
      </c>
    </row>
    <row r="13" spans="1:5">
      <c r="A13" s="128" t="s">
        <v>99</v>
      </c>
      <c r="B13" s="130">
        <v>4.4999999999999998E-2</v>
      </c>
      <c r="C13" s="130">
        <v>0.05</v>
      </c>
      <c r="D13" s="307">
        <f>B13-C13</f>
        <v>-5.0000000000000044E-3</v>
      </c>
      <c r="E13" s="307">
        <f>B13/C13</f>
        <v>0.89999999999999991</v>
      </c>
    </row>
    <row r="14" spans="1:5">
      <c r="A14" s="128" t="s">
        <v>100</v>
      </c>
      <c r="B14" s="130">
        <v>0.15</v>
      </c>
      <c r="C14" s="130">
        <v>0.15</v>
      </c>
      <c r="D14" s="307">
        <f t="shared" si="0"/>
        <v>0</v>
      </c>
      <c r="E14" s="307">
        <f t="shared" si="1"/>
        <v>1</v>
      </c>
    </row>
    <row r="15" spans="1:5">
      <c r="A15" s="128" t="s">
        <v>101</v>
      </c>
      <c r="B15" s="137">
        <f>'07711-TaS'!E8</f>
        <v>2306196.5500000003</v>
      </c>
      <c r="C15" s="132">
        <v>1400000</v>
      </c>
      <c r="D15" s="137">
        <f t="shared" si="0"/>
        <v>906196.55000000028</v>
      </c>
      <c r="E15" s="307">
        <f>B15/C15</f>
        <v>1.6472832500000003</v>
      </c>
    </row>
    <row r="16" spans="1:5">
      <c r="A16" s="128" t="s">
        <v>102</v>
      </c>
      <c r="B16" s="137">
        <v>500000</v>
      </c>
      <c r="C16" s="132">
        <v>500000</v>
      </c>
      <c r="D16" s="137">
        <f t="shared" si="0"/>
        <v>0</v>
      </c>
      <c r="E16" s="307">
        <f t="shared" si="1"/>
        <v>1</v>
      </c>
    </row>
    <row r="17" spans="1:5">
      <c r="A17" s="128" t="s">
        <v>103</v>
      </c>
      <c r="B17" s="138">
        <f>B16/VstupySR!B16</f>
        <v>3.5261572460204144E-2</v>
      </c>
      <c r="C17" s="130">
        <v>4.4844452742600571E-2</v>
      </c>
      <c r="D17" s="307">
        <f>B17-C17</f>
        <v>-9.5828802823964276E-3</v>
      </c>
      <c r="E17" s="307">
        <f>B17/C17</f>
        <v>0.78630845742726507</v>
      </c>
    </row>
    <row r="18" spans="1:5">
      <c r="A18" s="128" t="s">
        <v>104</v>
      </c>
      <c r="B18" s="137">
        <v>250000</v>
      </c>
      <c r="C18" s="132">
        <v>250000</v>
      </c>
      <c r="D18" s="137">
        <f t="shared" si="0"/>
        <v>0</v>
      </c>
      <c r="E18" s="307">
        <f t="shared" si="1"/>
        <v>1</v>
      </c>
    </row>
    <row r="19" spans="1:5">
      <c r="A19" s="128" t="s">
        <v>105</v>
      </c>
      <c r="B19" s="138">
        <f>B18/B16</f>
        <v>0.5</v>
      </c>
      <c r="C19" s="130">
        <v>0.5</v>
      </c>
      <c r="D19" s="307">
        <f t="shared" si="0"/>
        <v>0</v>
      </c>
      <c r="E19" s="307">
        <f t="shared" si="1"/>
        <v>1</v>
      </c>
    </row>
    <row r="20" spans="1:5">
      <c r="A20" s="128" t="s">
        <v>106</v>
      </c>
      <c r="B20" s="137">
        <v>30000</v>
      </c>
      <c r="C20" s="132">
        <v>30000</v>
      </c>
      <c r="D20" s="137">
        <f t="shared" si="0"/>
        <v>0</v>
      </c>
      <c r="E20" s="307">
        <f t="shared" si="1"/>
        <v>1</v>
      </c>
    </row>
    <row r="21" spans="1:5">
      <c r="A21" s="128" t="s">
        <v>105</v>
      </c>
      <c r="B21" s="138">
        <f>B20/B16</f>
        <v>0.06</v>
      </c>
      <c r="C21" s="130">
        <v>0.06</v>
      </c>
      <c r="D21" s="307">
        <f t="shared" ref="D21:D33" si="6">B21-C21</f>
        <v>0</v>
      </c>
      <c r="E21" s="307">
        <f>B21/C21</f>
        <v>1</v>
      </c>
    </row>
    <row r="22" spans="1:5">
      <c r="A22" s="133" t="str">
        <f>"07712 - TaS - presun z úpravy dotácie z roku "&amp;Rok-1</f>
        <v>07712 - TaS - presun z úpravy dotácie z roku 2023</v>
      </c>
      <c r="B22" s="358">
        <v>0</v>
      </c>
      <c r="C22" s="136">
        <v>0</v>
      </c>
      <c r="D22" s="137">
        <f t="shared" si="6"/>
        <v>0</v>
      </c>
      <c r="E22" s="307"/>
    </row>
    <row r="23" spans="1:5">
      <c r="A23" s="133" t="str">
        <f>"07712 - štipendiá doktorandi 2+ - zostatok z roku "&amp;Rok-1&amp;" - odhad"</f>
        <v>07712 - štipendiá doktorandi 2+ - zostatok z roku 2023 - odhad</v>
      </c>
      <c r="B23" s="305">
        <v>325000</v>
      </c>
      <c r="C23" s="136">
        <v>375000</v>
      </c>
      <c r="D23" s="137">
        <f t="shared" si="6"/>
        <v>-50000</v>
      </c>
      <c r="E23" s="307"/>
    </row>
    <row r="24" spans="1:5">
      <c r="A24" s="128" t="s">
        <v>688</v>
      </c>
      <c r="B24" s="137">
        <f>'07712-DoktStip'!D27-B23</f>
        <v>2894900.5</v>
      </c>
      <c r="C24" s="132">
        <v>2520597.5</v>
      </c>
      <c r="D24" s="137">
        <f t="shared" si="6"/>
        <v>374303</v>
      </c>
      <c r="E24" s="307">
        <f t="shared" si="1"/>
        <v>1.14849772722539</v>
      </c>
    </row>
    <row r="25" spans="1:5">
      <c r="A25" s="128" t="s">
        <v>107</v>
      </c>
      <c r="B25" s="137">
        <f>'07712-DoktStip'!E5</f>
        <v>366200</v>
      </c>
      <c r="C25" s="132">
        <v>323000</v>
      </c>
      <c r="D25" s="137">
        <f t="shared" si="6"/>
        <v>43200</v>
      </c>
      <c r="E25" s="307">
        <f t="shared" si="1"/>
        <v>1.1337461300309597</v>
      </c>
    </row>
    <row r="26" spans="1:5">
      <c r="A26" s="131" t="s">
        <v>663</v>
      </c>
      <c r="B26" s="139">
        <f>VstupySR!B21</f>
        <v>468099</v>
      </c>
      <c r="C26" s="132">
        <v>630254</v>
      </c>
      <c r="D26" s="137">
        <f t="shared" si="6"/>
        <v>-162155</v>
      </c>
      <c r="E26" s="307"/>
    </row>
    <row r="27" spans="1:5">
      <c r="A27" s="133" t="s">
        <v>108</v>
      </c>
      <c r="B27" s="135">
        <v>0</v>
      </c>
      <c r="C27" s="130">
        <v>0.25</v>
      </c>
      <c r="D27" s="307">
        <f t="shared" si="6"/>
        <v>-0.25</v>
      </c>
      <c r="E27" s="307">
        <f t="shared" ref="E27" si="7">B27/C27</f>
        <v>0</v>
      </c>
    </row>
    <row r="28" spans="1:5">
      <c r="A28" s="133" t="str">
        <f>"07712 - presun z úpravy dotácie roku "&amp;Rok-1</f>
        <v>07712 - presun z úpravy dotácie roku 2023</v>
      </c>
      <c r="B28" s="305">
        <v>0</v>
      </c>
      <c r="C28" s="132">
        <v>531196</v>
      </c>
      <c r="D28" s="137">
        <f>B28-C28</f>
        <v>-531196</v>
      </c>
      <c r="E28" s="307">
        <f t="shared" si="1"/>
        <v>0</v>
      </c>
    </row>
    <row r="29" spans="1:5">
      <c r="A29" s="133" t="s">
        <v>109</v>
      </c>
      <c r="B29" s="305">
        <f>ROUND(B28/1.352,0)</f>
        <v>0</v>
      </c>
      <c r="C29" s="132">
        <v>392896</v>
      </c>
      <c r="D29" s="137">
        <f t="shared" ref="D29:D30" si="8">B29-C29</f>
        <v>-392896</v>
      </c>
      <c r="E29" s="307">
        <f t="shared" si="1"/>
        <v>0</v>
      </c>
    </row>
    <row r="30" spans="1:5">
      <c r="A30" s="133" t="s">
        <v>110</v>
      </c>
      <c r="B30" s="305">
        <f>B28-B29</f>
        <v>0</v>
      </c>
      <c r="C30" s="132">
        <v>138300</v>
      </c>
      <c r="D30" s="137">
        <f t="shared" si="8"/>
        <v>-138300</v>
      </c>
      <c r="E30" s="307">
        <f t="shared" si="1"/>
        <v>0</v>
      </c>
    </row>
    <row r="31" spans="1:5">
      <c r="A31" s="128" t="s">
        <v>111</v>
      </c>
      <c r="B31" s="130">
        <f>B3</f>
        <v>0.13</v>
      </c>
      <c r="C31" s="130">
        <v>0.108</v>
      </c>
      <c r="D31" s="307">
        <f t="shared" si="6"/>
        <v>2.2000000000000006E-2</v>
      </c>
      <c r="E31" s="307">
        <f t="shared" si="1"/>
        <v>1.2037037037037037</v>
      </c>
    </row>
    <row r="32" spans="1:5">
      <c r="A32" s="128" t="s">
        <v>112</v>
      </c>
      <c r="B32" s="130">
        <f>B4</f>
        <v>0.03</v>
      </c>
      <c r="C32" s="130">
        <v>2.5000000000000001E-2</v>
      </c>
      <c r="D32" s="307">
        <f t="shared" si="6"/>
        <v>4.9999999999999975E-3</v>
      </c>
      <c r="E32" s="307">
        <f t="shared" si="1"/>
        <v>1.2</v>
      </c>
    </row>
    <row r="33" spans="1:5">
      <c r="A33" s="128" t="s">
        <v>113</v>
      </c>
      <c r="B33" s="130">
        <v>0.15</v>
      </c>
      <c r="C33" s="130">
        <v>0.15</v>
      </c>
      <c r="D33" s="307">
        <f t="shared" si="6"/>
        <v>0</v>
      </c>
      <c r="E33" s="307">
        <f>B33/C33</f>
        <v>1</v>
      </c>
    </row>
    <row r="35" spans="1:5">
      <c r="B35" s="26"/>
    </row>
    <row r="36" spans="1:5">
      <c r="B36" s="26"/>
    </row>
    <row r="37" spans="1:5">
      <c r="B37" s="26"/>
    </row>
    <row r="38" spans="1:5">
      <c r="B38" s="26"/>
    </row>
    <row r="39" spans="1:5">
      <c r="B39" s="26"/>
    </row>
  </sheetData>
  <mergeCells count="1">
    <mergeCell ref="A1:D1"/>
  </mergeCells>
  <conditionalFormatting sqref="D3:D33">
    <cfRule type="cellIs" dxfId="36" priority="9" operator="lessThan">
      <formula>0</formula>
    </cfRule>
    <cfRule type="cellIs" dxfId="35" priority="10" operator="greaterThan">
      <formula>0</formula>
    </cfRule>
  </conditionalFormatting>
  <conditionalFormatting sqref="E3:E33">
    <cfRule type="cellIs" dxfId="34" priority="1" operator="greaterThan">
      <formula>1</formula>
    </cfRule>
    <cfRule type="cellIs" dxfId="33" priority="2" operator="lessThan">
      <formula>1</formula>
    </cfRule>
  </conditionalFormatting>
  <pageMargins left="0.31496062992125984" right="0.31496062992125984" top="0.74803149606299213" bottom="0.55118110236220474" header="0.31496062992125984" footer="0.31496062992125984"/>
  <pageSetup paperSize="9" orientation="landscape" r:id="rId1"/>
  <headerFooter scaleWithDoc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S83"/>
  <sheetViews>
    <sheetView zoomScale="130" zoomScaleNormal="130" workbookViewId="0">
      <selection activeCell="O22" sqref="O22"/>
    </sheetView>
  </sheetViews>
  <sheetFormatPr defaultColWidth="14.28515625" defaultRowHeight="15.75"/>
  <cols>
    <col min="1" max="9" width="16.28515625" style="1" customWidth="1"/>
    <col min="10" max="10" width="1.28515625" style="1" customWidth="1"/>
    <col min="11" max="11" width="16.28515625" style="1" customWidth="1"/>
    <col min="12" max="12" width="16.7109375" style="1" customWidth="1"/>
    <col min="13" max="13" width="3.28515625" style="1" bestFit="1" customWidth="1"/>
    <col min="14" max="15" width="16.28515625" style="1" customWidth="1"/>
    <col min="16" max="16" width="1.28515625" style="1" customWidth="1"/>
    <col min="17" max="18" width="16.28515625" style="1" customWidth="1"/>
    <col min="19" max="19" width="1.28515625" style="1" customWidth="1"/>
    <col min="20" max="21" width="16.28515625" style="1" customWidth="1"/>
    <col min="22" max="22" width="2.28515625" style="1" customWidth="1"/>
    <col min="23" max="16384" width="14.28515625" style="1"/>
  </cols>
  <sheetData>
    <row r="1" spans="1:18">
      <c r="A1" s="343"/>
      <c r="B1" s="344" t="s">
        <v>114</v>
      </c>
      <c r="C1" s="344">
        <f>F1</f>
        <v>1</v>
      </c>
      <c r="D1" s="343"/>
      <c r="E1" s="56" t="s">
        <v>114</v>
      </c>
      <c r="F1" s="56">
        <v>1</v>
      </c>
      <c r="K1" s="405" t="str">
        <f>"Valorizácia 07711, 07712, projekty ("&amp;Rok&amp;")"</f>
        <v>Valorizácia 07711, 07712, projekty (2024)</v>
      </c>
      <c r="L1" s="405" t="str">
        <f>"Valorizácia potreba aj projekty ("&amp;Rok&amp;")"</f>
        <v>Valorizácia potreba aj projekty (2024)</v>
      </c>
      <c r="N1" s="405" t="str">
        <f>"Valorizácia 07711, 07712, projekty ("&amp;Rok-1&amp;")"</f>
        <v>Valorizácia 07711, 07712, projekty (2023)</v>
      </c>
      <c r="O1" s="415"/>
    </row>
    <row r="2" spans="1:18" s="5" customFormat="1" ht="15.6" customHeight="1">
      <c r="A2" s="416" t="s">
        <v>115</v>
      </c>
      <c r="B2" s="418" t="str">
        <f>"Rok "&amp;Rok&amp;IF(C1=0," (bez valorizácie)"," (s valorizáciou)")</f>
        <v>Rok 2024 (s valorizáciou)</v>
      </c>
      <c r="C2" s="418"/>
      <c r="D2" s="418"/>
      <c r="E2" s="400" t="str">
        <f>"Rok "&amp;Rok-1&amp;IF(F1=0," (bez valorizácie)"," (s valorizáciou)")</f>
        <v>Rok 2023 (s valorizáciou)</v>
      </c>
      <c r="F2" s="400"/>
      <c r="G2" s="400"/>
      <c r="H2" s="400" t="s">
        <v>116</v>
      </c>
      <c r="I2" s="400"/>
      <c r="K2" s="405"/>
      <c r="L2" s="405"/>
      <c r="N2" s="405"/>
      <c r="O2" s="415"/>
      <c r="Q2" s="405" t="str">
        <f>"Bez valor 07711 ("&amp;Rok-1&amp;")"</f>
        <v>Bez valor 07711 (2023)</v>
      </c>
      <c r="R2" s="405" t="str">
        <f>"Bez valor 07712 ("&amp;Rok-1&amp;")"</f>
        <v>Bez valor 07712 (2023)</v>
      </c>
    </row>
    <row r="3" spans="1:18" s="24" customFormat="1">
      <c r="A3" s="417"/>
      <c r="B3" s="345" t="s">
        <v>117</v>
      </c>
      <c r="C3" s="345" t="s">
        <v>118</v>
      </c>
      <c r="D3" s="345" t="s">
        <v>119</v>
      </c>
      <c r="E3" s="140" t="s">
        <v>117</v>
      </c>
      <c r="F3" s="140" t="s">
        <v>118</v>
      </c>
      <c r="G3" s="140" t="s">
        <v>119</v>
      </c>
      <c r="H3" s="140" t="s">
        <v>120</v>
      </c>
      <c r="I3" s="140" t="s">
        <v>121</v>
      </c>
      <c r="K3" s="405"/>
      <c r="L3" s="405"/>
      <c r="N3" s="405"/>
      <c r="O3" s="415"/>
      <c r="Q3" s="405"/>
      <c r="R3" s="405"/>
    </row>
    <row r="4" spans="1:18">
      <c r="A4" s="346" t="s">
        <v>122</v>
      </c>
      <c r="B4" s="347">
        <f>ROUND('07711-mzdy'!E8,0)+C$1*K4</f>
        <v>2459058</v>
      </c>
      <c r="C4" s="347">
        <f>ROUND('07712-mzdy'!E11,0)</f>
        <v>1190239</v>
      </c>
      <c r="D4" s="348">
        <f t="shared" ref="D4:D13" si="0">B4+C4</f>
        <v>3649297</v>
      </c>
      <c r="E4" s="124">
        <f t="shared" ref="E4:E13" si="1">Q4+$F$1*N4</f>
        <v>2010349</v>
      </c>
      <c r="F4" s="124">
        <f>R4</f>
        <v>724558</v>
      </c>
      <c r="G4" s="124">
        <f t="shared" ref="G4:G13" si="2">E4+F4</f>
        <v>2734907</v>
      </c>
      <c r="H4" s="322">
        <f t="shared" ref="H4:H13" si="3">D4-G4</f>
        <v>914390</v>
      </c>
      <c r="I4" s="338">
        <f t="shared" ref="I4:I14" si="4">D4/G4</f>
        <v>1.3343404364389722</v>
      </c>
      <c r="K4" s="146">
        <f>ROUND(L4*(1+L$15)/2,0)</f>
        <v>301522</v>
      </c>
      <c r="L4" s="146">
        <v>301521.59999999998</v>
      </c>
      <c r="N4" s="146">
        <v>468943</v>
      </c>
      <c r="O4" s="146"/>
      <c r="Q4" s="146">
        <v>1541406</v>
      </c>
      <c r="R4" s="146">
        <v>724558</v>
      </c>
    </row>
    <row r="5" spans="1:18">
      <c r="A5" s="349" t="s">
        <v>513</v>
      </c>
      <c r="B5" s="350">
        <f>ROUND('07711-mzdy'!E7,0)+'07711-mzdy'!E10+C$1*K5</f>
        <v>803701</v>
      </c>
      <c r="C5" s="347">
        <f>ROUND('07712-mzdy'!E10,0)</f>
        <v>274670</v>
      </c>
      <c r="D5" s="348">
        <f t="shared" si="0"/>
        <v>1078371</v>
      </c>
      <c r="E5" s="124">
        <f t="shared" si="1"/>
        <v>285889.59999999998</v>
      </c>
      <c r="F5" s="124">
        <f t="shared" ref="F5:F13" si="5">R5</f>
        <v>69903.399999999994</v>
      </c>
      <c r="G5" s="124">
        <f t="shared" si="2"/>
        <v>355793</v>
      </c>
      <c r="H5" s="144">
        <f t="shared" si="3"/>
        <v>722578</v>
      </c>
      <c r="I5" s="145"/>
      <c r="K5" s="146">
        <f>ROUND(L14*(L$16-L$15),0)</f>
        <v>305808</v>
      </c>
      <c r="L5" s="146"/>
      <c r="N5" s="146">
        <v>137179</v>
      </c>
      <c r="O5" s="146"/>
      <c r="Q5" s="146">
        <v>148710.6</v>
      </c>
      <c r="R5" s="146">
        <v>69903.399999999994</v>
      </c>
    </row>
    <row r="6" spans="1:18">
      <c r="A6" s="349" t="s">
        <v>123</v>
      </c>
      <c r="B6" s="350">
        <f>'07711-mzdy'!E9</f>
        <v>1643200</v>
      </c>
      <c r="C6" s="347"/>
      <c r="D6" s="348">
        <f t="shared" si="0"/>
        <v>1643200</v>
      </c>
      <c r="E6" s="124">
        <f t="shared" si="1"/>
        <v>63033</v>
      </c>
      <c r="F6" s="124">
        <f t="shared" si="5"/>
        <v>0</v>
      </c>
      <c r="G6" s="124">
        <f t="shared" si="2"/>
        <v>63033</v>
      </c>
      <c r="H6" s="144">
        <f t="shared" si="3"/>
        <v>1580167</v>
      </c>
      <c r="I6" s="145"/>
      <c r="K6" s="146">
        <f t="shared" ref="K6:K13" si="6">ROUND(L6*(1+L$15)/2,0)</f>
        <v>0</v>
      </c>
      <c r="L6" s="146"/>
      <c r="N6" s="146">
        <v>63033</v>
      </c>
      <c r="O6" s="146"/>
      <c r="Q6" s="146"/>
      <c r="R6" s="146"/>
    </row>
    <row r="7" spans="1:18">
      <c r="A7" s="346" t="s">
        <v>124</v>
      </c>
      <c r="B7" s="347">
        <f>ROUND('07711-mzdy'!I45+'07711-mzdy'!D58,0)+C$1*K7</f>
        <v>7214963</v>
      </c>
      <c r="C7" s="347">
        <f>ROUND('07712-mzdy'!K38,0)</f>
        <v>2653788</v>
      </c>
      <c r="D7" s="348">
        <f t="shared" si="0"/>
        <v>9868751</v>
      </c>
      <c r="E7" s="124">
        <f t="shared" si="1"/>
        <v>7167557.2999999998</v>
      </c>
      <c r="F7" s="124">
        <f t="shared" si="5"/>
        <v>1582946.7</v>
      </c>
      <c r="G7" s="124">
        <f t="shared" si="2"/>
        <v>8750504</v>
      </c>
      <c r="H7" s="322">
        <f t="shared" si="3"/>
        <v>1118247</v>
      </c>
      <c r="I7" s="338">
        <f t="shared" si="4"/>
        <v>1.1277922963065898</v>
      </c>
      <c r="K7" s="146">
        <f t="shared" si="6"/>
        <v>1140433</v>
      </c>
      <c r="L7" s="147">
        <v>1140433.2</v>
      </c>
      <c r="N7" s="147">
        <v>1521480</v>
      </c>
      <c r="O7" s="147"/>
      <c r="Q7" s="147">
        <v>5646077.2999999998</v>
      </c>
      <c r="R7" s="147">
        <v>1582946.7</v>
      </c>
    </row>
    <row r="8" spans="1:18">
      <c r="A8" s="351" t="s">
        <v>125</v>
      </c>
      <c r="B8" s="352">
        <f>ROUND('07711-mzdy'!I46+'07711-mzdy'!D59,0)+C$1*K8</f>
        <v>3565190</v>
      </c>
      <c r="C8" s="352">
        <f>ROUND('07712-mzdy'!K39,0)</f>
        <v>3451663</v>
      </c>
      <c r="D8" s="353">
        <f t="shared" si="0"/>
        <v>7016853</v>
      </c>
      <c r="E8" s="312">
        <f t="shared" si="1"/>
        <v>4210856.3</v>
      </c>
      <c r="F8" s="312">
        <f t="shared" si="5"/>
        <v>3122615.7</v>
      </c>
      <c r="G8" s="312">
        <f t="shared" si="2"/>
        <v>7333472</v>
      </c>
      <c r="H8" s="314">
        <f t="shared" si="3"/>
        <v>-316619</v>
      </c>
      <c r="I8" s="315">
        <f t="shared" si="4"/>
        <v>0.95682549820876117</v>
      </c>
      <c r="K8" s="146">
        <f t="shared" si="6"/>
        <v>563876</v>
      </c>
      <c r="L8" s="147">
        <v>563876.4</v>
      </c>
      <c r="N8" s="147">
        <v>742073</v>
      </c>
      <c r="O8" s="147"/>
      <c r="Q8" s="147">
        <v>3468783.3</v>
      </c>
      <c r="R8" s="147">
        <v>3122615.7</v>
      </c>
    </row>
    <row r="9" spans="1:18">
      <c r="A9" s="346" t="s">
        <v>126</v>
      </c>
      <c r="B9" s="347">
        <f>ROUND('07711-mzdy'!I47+'07711-mzdy'!D60,0)+C$1*K9</f>
        <v>930889</v>
      </c>
      <c r="C9" s="347">
        <f>ROUND('07712-mzdy'!K40,0)</f>
        <v>320184</v>
      </c>
      <c r="D9" s="348">
        <f t="shared" si="0"/>
        <v>1251073</v>
      </c>
      <c r="E9" s="124">
        <f t="shared" si="1"/>
        <v>1218257.1000000001</v>
      </c>
      <c r="F9" s="124">
        <f t="shared" si="5"/>
        <v>223707.9</v>
      </c>
      <c r="G9" s="124">
        <f t="shared" si="2"/>
        <v>1441965</v>
      </c>
      <c r="H9" s="314">
        <f t="shared" si="3"/>
        <v>-190892</v>
      </c>
      <c r="I9" s="315">
        <f t="shared" si="4"/>
        <v>0.86761675907528957</v>
      </c>
      <c r="K9" s="146">
        <f t="shared" si="6"/>
        <v>159799</v>
      </c>
      <c r="L9" s="147">
        <v>159799.20000000001</v>
      </c>
      <c r="N9" s="147">
        <v>210074</v>
      </c>
      <c r="O9" s="147"/>
      <c r="Q9" s="147">
        <v>1008183.1</v>
      </c>
      <c r="R9" s="147">
        <v>223707.9</v>
      </c>
    </row>
    <row r="10" spans="1:18">
      <c r="A10" s="346" t="s">
        <v>127</v>
      </c>
      <c r="B10" s="347">
        <f>ROUND('07711-mzdy'!I48+'07711-mzdy'!D61,0)+C$1*K10</f>
        <v>555532</v>
      </c>
      <c r="C10" s="347">
        <f>ROUND('07712-mzdy'!K41,0)</f>
        <v>95972</v>
      </c>
      <c r="D10" s="348">
        <f t="shared" si="0"/>
        <v>651504</v>
      </c>
      <c r="E10" s="124">
        <f t="shared" si="1"/>
        <v>726994.8</v>
      </c>
      <c r="F10" s="124">
        <f t="shared" si="5"/>
        <v>92755.199999999997</v>
      </c>
      <c r="G10" s="124">
        <f t="shared" si="2"/>
        <v>819750</v>
      </c>
      <c r="H10" s="314">
        <f t="shared" si="3"/>
        <v>-168246</v>
      </c>
      <c r="I10" s="315">
        <f t="shared" si="4"/>
        <v>0.79475937785910333</v>
      </c>
      <c r="K10" s="146">
        <f t="shared" si="6"/>
        <v>85793</v>
      </c>
      <c r="L10" s="147">
        <v>85792.8</v>
      </c>
      <c r="N10" s="147">
        <v>117882</v>
      </c>
      <c r="O10" s="147"/>
      <c r="Q10" s="147">
        <v>609112.80000000005</v>
      </c>
      <c r="R10" s="147">
        <v>92755.199999999997</v>
      </c>
    </row>
    <row r="11" spans="1:18">
      <c r="A11" s="346" t="s">
        <v>128</v>
      </c>
      <c r="B11" s="347">
        <f>ROUND('07711-mzdy'!I49+'07711-mzdy'!D62,0)+C$1*K11</f>
        <v>2013874</v>
      </c>
      <c r="C11" s="347">
        <f>ROUND('07712-mzdy'!K42,0)</f>
        <v>932784</v>
      </c>
      <c r="D11" s="348">
        <f t="shared" si="0"/>
        <v>2946658</v>
      </c>
      <c r="E11" s="124">
        <f t="shared" si="1"/>
        <v>2196135</v>
      </c>
      <c r="F11" s="124">
        <f t="shared" si="5"/>
        <v>570389</v>
      </c>
      <c r="G11" s="124">
        <f t="shared" si="2"/>
        <v>2766524</v>
      </c>
      <c r="H11" s="322">
        <f t="shared" si="3"/>
        <v>180134</v>
      </c>
      <c r="I11" s="338">
        <f t="shared" si="4"/>
        <v>1.0651120322831105</v>
      </c>
      <c r="K11" s="146">
        <f t="shared" si="6"/>
        <v>310288</v>
      </c>
      <c r="L11" s="147">
        <v>310287.59999999998</v>
      </c>
      <c r="N11" s="147">
        <v>410984</v>
      </c>
      <c r="O11" s="147"/>
      <c r="Q11" s="147">
        <v>1785151</v>
      </c>
      <c r="R11" s="147">
        <v>570389</v>
      </c>
    </row>
    <row r="12" spans="1:18">
      <c r="A12" s="346" t="s">
        <v>664</v>
      </c>
      <c r="B12" s="347">
        <f>ROUND('07711-mzdy'!I50+'07711-mzdy'!D63,0)+C$1*K12</f>
        <v>234081</v>
      </c>
      <c r="C12" s="347">
        <f>ROUND('07712-mzdy'!K43,0)</f>
        <v>15749</v>
      </c>
      <c r="D12" s="348">
        <f t="shared" si="0"/>
        <v>249830</v>
      </c>
      <c r="E12" s="124">
        <f t="shared" si="1"/>
        <v>351550</v>
      </c>
      <c r="F12" s="124">
        <f t="shared" si="5"/>
        <v>19399</v>
      </c>
      <c r="G12" s="124">
        <f t="shared" si="2"/>
        <v>370949</v>
      </c>
      <c r="H12" s="314">
        <f t="shared" si="3"/>
        <v>-121119</v>
      </c>
      <c r="I12" s="315">
        <f t="shared" si="4"/>
        <v>0.6734888084345827</v>
      </c>
      <c r="K12" s="147">
        <f t="shared" si="6"/>
        <v>33216</v>
      </c>
      <c r="L12" s="147">
        <v>33216</v>
      </c>
      <c r="N12" s="147">
        <v>44373</v>
      </c>
      <c r="O12" s="147"/>
      <c r="Q12" s="147">
        <v>307177</v>
      </c>
      <c r="R12" s="147">
        <v>19399</v>
      </c>
    </row>
    <row r="13" spans="1:18">
      <c r="A13" s="346" t="s">
        <v>130</v>
      </c>
      <c r="B13" s="347">
        <f>ROUND('07711-mzdy'!I51+'07711-mzdy'!D64,0)+C$1*K13</f>
        <v>123949</v>
      </c>
      <c r="C13" s="347">
        <f>ROUND('07712-mzdy'!K44,0)</f>
        <v>220632</v>
      </c>
      <c r="D13" s="348">
        <f t="shared" si="0"/>
        <v>344581</v>
      </c>
      <c r="E13" s="124">
        <f t="shared" si="1"/>
        <v>173176</v>
      </c>
      <c r="F13" s="124">
        <f t="shared" si="5"/>
        <v>302593</v>
      </c>
      <c r="G13" s="124">
        <f t="shared" si="2"/>
        <v>475769</v>
      </c>
      <c r="H13" s="314">
        <f t="shared" si="3"/>
        <v>-131188</v>
      </c>
      <c r="I13" s="315">
        <f t="shared" si="4"/>
        <v>0.72426114353814564</v>
      </c>
      <c r="K13" s="147">
        <f t="shared" si="6"/>
        <v>47273</v>
      </c>
      <c r="L13" s="147">
        <v>47272.800000000003</v>
      </c>
      <c r="N13" s="147">
        <v>65498</v>
      </c>
      <c r="O13" s="147"/>
      <c r="Q13" s="147">
        <v>107678</v>
      </c>
      <c r="R13" s="147">
        <v>302593</v>
      </c>
    </row>
    <row r="14" spans="1:18">
      <c r="A14" s="346" t="s">
        <v>131</v>
      </c>
      <c r="B14" s="348">
        <f t="shared" ref="B14:H14" si="7">SUM(B4:B13)</f>
        <v>19544437</v>
      </c>
      <c r="C14" s="348">
        <f>SUM(C4:C13)</f>
        <v>9155681</v>
      </c>
      <c r="D14" s="348">
        <f t="shared" si="7"/>
        <v>28700118</v>
      </c>
      <c r="E14" s="144">
        <f t="shared" si="7"/>
        <v>18403798.100000001</v>
      </c>
      <c r="F14" s="144">
        <f t="shared" si="7"/>
        <v>6708867.9000000013</v>
      </c>
      <c r="G14" s="144">
        <f t="shared" si="7"/>
        <v>25112666</v>
      </c>
      <c r="H14" s="144">
        <f t="shared" si="7"/>
        <v>3587452</v>
      </c>
      <c r="I14" s="145">
        <f t="shared" si="4"/>
        <v>1.1428542871553342</v>
      </c>
      <c r="K14" s="148">
        <f>SUM(K4:K13)</f>
        <v>2948008</v>
      </c>
      <c r="L14" s="148">
        <f>SUM(L4:L13)</f>
        <v>2642199.5999999996</v>
      </c>
      <c r="N14" s="148">
        <f>SUM(N4:N13)</f>
        <v>3781519</v>
      </c>
      <c r="O14" s="148"/>
      <c r="Q14" s="148">
        <f>SUM(Q4:Q13)</f>
        <v>14622279.1</v>
      </c>
      <c r="R14" s="148">
        <f>SUM(R4:R13)</f>
        <v>6708867.9000000013</v>
      </c>
    </row>
    <row r="15" spans="1:18">
      <c r="A15" s="354" t="s">
        <v>132</v>
      </c>
      <c r="B15" s="355">
        <f>'07711-mzdy'!E6+C$1*K14-B14</f>
        <v>-0.19511110708117485</v>
      </c>
      <c r="C15" s="355">
        <f>'07712-mzdy'!E9-C14</f>
        <v>0</v>
      </c>
      <c r="D15" s="355">
        <f>B15+C15</f>
        <v>-0.19511110708117485</v>
      </c>
      <c r="I15" s="295" t="s">
        <v>468</v>
      </c>
      <c r="K15" s="294">
        <f>VstupySR!B9+VstupySR!B20/1.352-K14</f>
        <v>-0.47928994102403522</v>
      </c>
      <c r="L15" s="91">
        <v>1</v>
      </c>
      <c r="M15" s="52"/>
      <c r="N15" s="52"/>
      <c r="O15" s="52"/>
      <c r="Q15" s="411"/>
      <c r="R15" s="411"/>
    </row>
    <row r="16" spans="1:18">
      <c r="A16" s="49"/>
      <c r="B16" s="106"/>
      <c r="C16" s="106"/>
      <c r="E16" s="49" t="str">
        <f>"Pozor, v rozpise na 07712 je aj "&amp;VstupyUPJS!B29&amp;" EUR z roku "&amp;Rok-1&amp;" (napr. rektorát)"</f>
        <v>Pozor, v rozpise na 07712 je aj 0 EUR z roku 2023 (napr. rektorát)</v>
      </c>
      <c r="H16" s="27"/>
      <c r="K16" s="74" t="s">
        <v>662</v>
      </c>
      <c r="L16" s="50">
        <f>(VstupySR!B9+VstupySR!B20/1.352-VstupyUPJS!B9)/L14</f>
        <v>1.1157399012209597</v>
      </c>
      <c r="M16" s="50"/>
      <c r="N16" s="1" t="s">
        <v>637</v>
      </c>
      <c r="O16" s="50"/>
    </row>
    <row r="17" spans="1:19">
      <c r="A17" s="28" t="s">
        <v>133</v>
      </c>
      <c r="B17" s="298">
        <f>VstupyUPJS!B10</f>
        <v>0.95</v>
      </c>
      <c r="E17" s="49" t="str">
        <f>"na 07711 je aj SFb vo výške "&amp;'07711-mzdy'!M65&amp;" EUR z RF roku "&amp;Rok-1&amp;""</f>
        <v>na 07711 je aj SFb vo výške 0 EUR z RF roku 2023</v>
      </c>
      <c r="G17" s="59"/>
      <c r="H17" s="59"/>
      <c r="I17" s="59"/>
      <c r="L17" s="50"/>
      <c r="M17" s="50"/>
      <c r="N17" s="50"/>
      <c r="O17" s="50"/>
    </row>
    <row r="18" spans="1:19">
      <c r="A18" s="401" t="s">
        <v>115</v>
      </c>
      <c r="B18" s="401" t="s">
        <v>134</v>
      </c>
      <c r="C18" s="401" t="s">
        <v>135</v>
      </c>
      <c r="D18" s="413" t="s">
        <v>708</v>
      </c>
      <c r="E18" s="412" t="str">
        <f>B2</f>
        <v>Rok 2024 (s valorizáciou)</v>
      </c>
      <c r="F18" s="412"/>
      <c r="G18" s="412"/>
      <c r="H18" s="412"/>
      <c r="I18" s="412"/>
      <c r="K18" s="382" t="s">
        <v>723</v>
      </c>
      <c r="L18" s="384" t="s">
        <v>723</v>
      </c>
    </row>
    <row r="19" spans="1:19">
      <c r="A19" s="402"/>
      <c r="B19" s="402"/>
      <c r="C19" s="402"/>
      <c r="D19" s="414"/>
      <c r="E19" s="316" t="s">
        <v>117</v>
      </c>
      <c r="F19" s="316" t="s">
        <v>118</v>
      </c>
      <c r="G19" s="363" t="s">
        <v>136</v>
      </c>
      <c r="H19" s="316" t="s">
        <v>120</v>
      </c>
      <c r="I19" s="316" t="s">
        <v>137</v>
      </c>
      <c r="K19" s="383">
        <v>2024</v>
      </c>
      <c r="L19" s="385">
        <v>2023</v>
      </c>
    </row>
    <row r="20" spans="1:19">
      <c r="A20" s="142" t="s">
        <v>122</v>
      </c>
      <c r="B20" s="122"/>
      <c r="C20" s="122"/>
      <c r="D20" s="260"/>
      <c r="E20" s="317">
        <f>B4</f>
        <v>2459058</v>
      </c>
      <c r="F20" s="317">
        <f>C4</f>
        <v>1190239</v>
      </c>
      <c r="G20" s="364">
        <f t="shared" ref="G20:G29" si="8">E20+F20</f>
        <v>3649297</v>
      </c>
      <c r="H20" s="324">
        <f>G20-G4</f>
        <v>914390</v>
      </c>
      <c r="I20" s="325">
        <f>G20/G4</f>
        <v>1.3343404364389722</v>
      </c>
      <c r="K20" s="380">
        <f>G20*1.362</f>
        <v>4970342.5140000004</v>
      </c>
      <c r="L20" s="386">
        <f>G4*1.352</f>
        <v>3697594.2640000004</v>
      </c>
    </row>
    <row r="21" spans="1:19">
      <c r="A21" s="260" t="s">
        <v>513</v>
      </c>
      <c r="B21" s="122"/>
      <c r="C21" s="124">
        <f>-SUM(C23:C29)</f>
        <v>-456025</v>
      </c>
      <c r="D21" s="260"/>
      <c r="E21" s="317">
        <f>ROUND(B5+$C21*B$5/$D$5,1)</f>
        <v>463829.3</v>
      </c>
      <c r="F21" s="317">
        <f>ROUND(C5+$C21*C$5/$D$5,1)</f>
        <v>158516.70000000001</v>
      </c>
      <c r="G21" s="364">
        <f t="shared" si="8"/>
        <v>622346</v>
      </c>
      <c r="H21" s="318">
        <f>G21-G5</f>
        <v>266553</v>
      </c>
      <c r="I21" s="323"/>
      <c r="J21" s="57"/>
      <c r="K21" s="380">
        <f t="shared" ref="K21:K30" si="9">G21*1.362</f>
        <v>847635.25200000009</v>
      </c>
      <c r="L21" s="386">
        <f t="shared" ref="L21:L30" si="10">G5*1.352</f>
        <v>481032.13600000006</v>
      </c>
      <c r="M21" s="80"/>
    </row>
    <row r="22" spans="1:19">
      <c r="A22" s="260" t="s">
        <v>138</v>
      </c>
      <c r="B22" s="122"/>
      <c r="C22" s="124"/>
      <c r="D22" s="146">
        <f>-B6</f>
        <v>-1643200</v>
      </c>
      <c r="E22" s="317"/>
      <c r="F22" s="317"/>
      <c r="G22" s="364"/>
      <c r="H22" s="318"/>
      <c r="I22" s="323"/>
      <c r="J22" s="57"/>
      <c r="K22" s="380">
        <f t="shared" si="9"/>
        <v>0</v>
      </c>
      <c r="L22" s="386">
        <f t="shared" si="10"/>
        <v>85220.616000000009</v>
      </c>
      <c r="M22" s="80"/>
    </row>
    <row r="23" spans="1:19">
      <c r="A23" s="142" t="s">
        <v>124</v>
      </c>
      <c r="B23" s="124">
        <f t="shared" ref="B23:B29" si="11">ROUND(B$17*G7,0)</f>
        <v>8312979</v>
      </c>
      <c r="C23" s="124">
        <f t="shared" ref="C23:C29" si="12">MAX(0,B23-D7)</f>
        <v>0</v>
      </c>
      <c r="D23" s="297">
        <f>'07711-mzdy'!L58+'07711-mzdy'!M58</f>
        <v>0</v>
      </c>
      <c r="E23" s="317">
        <f t="shared" ref="E23:E29" si="13">ROUND(B7+D23+$C23*B$5/$D$5,1)</f>
        <v>7214963</v>
      </c>
      <c r="F23" s="317">
        <f t="shared" ref="F23:F29" si="14">ROUND(C7+$C23*C$5/$D$5,1)</f>
        <v>2653788</v>
      </c>
      <c r="G23" s="364">
        <f t="shared" si="8"/>
        <v>9868751</v>
      </c>
      <c r="H23" s="324">
        <f t="shared" ref="H23:H29" si="15">G23-G7</f>
        <v>1118247</v>
      </c>
      <c r="I23" s="325">
        <f t="shared" ref="I23:I30" si="16">G23/G7</f>
        <v>1.1277922963065898</v>
      </c>
      <c r="J23" s="57"/>
      <c r="K23" s="380">
        <f t="shared" si="9"/>
        <v>13441238.862000002</v>
      </c>
      <c r="L23" s="386">
        <f t="shared" si="10"/>
        <v>11830681.408000002</v>
      </c>
      <c r="M23" s="80"/>
    </row>
    <row r="24" spans="1:19">
      <c r="A24" s="311" t="s">
        <v>125</v>
      </c>
      <c r="B24" s="312">
        <f t="shared" si="11"/>
        <v>6966798</v>
      </c>
      <c r="C24" s="312">
        <f t="shared" si="12"/>
        <v>0</v>
      </c>
      <c r="D24" s="331">
        <f>'07711-mzdy'!L59+'07711-mzdy'!M59</f>
        <v>0</v>
      </c>
      <c r="E24" s="319">
        <f t="shared" si="13"/>
        <v>3565190</v>
      </c>
      <c r="F24" s="319">
        <f t="shared" si="14"/>
        <v>3451663</v>
      </c>
      <c r="G24" s="365">
        <f t="shared" si="8"/>
        <v>7016853</v>
      </c>
      <c r="H24" s="320">
        <f t="shared" si="15"/>
        <v>-316619</v>
      </c>
      <c r="I24" s="326">
        <f t="shared" si="16"/>
        <v>0.95682549820876117</v>
      </c>
      <c r="J24" s="57"/>
      <c r="K24" s="380">
        <f t="shared" si="9"/>
        <v>9556953.7860000003</v>
      </c>
      <c r="L24" s="386">
        <f t="shared" si="10"/>
        <v>9914854.1440000013</v>
      </c>
      <c r="M24" s="80"/>
    </row>
    <row r="25" spans="1:19">
      <c r="A25" s="142" t="s">
        <v>126</v>
      </c>
      <c r="B25" s="124">
        <f t="shared" si="11"/>
        <v>1369867</v>
      </c>
      <c r="C25" s="124">
        <f t="shared" si="12"/>
        <v>118794</v>
      </c>
      <c r="D25" s="297">
        <f>'07711-mzdy'!L60+'07711-mzdy'!M60</f>
        <v>578800</v>
      </c>
      <c r="E25" s="317">
        <f t="shared" si="13"/>
        <v>1598225.2</v>
      </c>
      <c r="F25" s="317">
        <f t="shared" si="14"/>
        <v>350441.8</v>
      </c>
      <c r="G25" s="364">
        <f t="shared" si="8"/>
        <v>1948667</v>
      </c>
      <c r="H25" s="324">
        <f t="shared" si="15"/>
        <v>506702</v>
      </c>
      <c r="I25" s="325">
        <f t="shared" si="16"/>
        <v>1.3513968785650137</v>
      </c>
      <c r="J25" s="57"/>
      <c r="K25" s="380">
        <f t="shared" si="9"/>
        <v>2654084.4540000004</v>
      </c>
      <c r="L25" s="386">
        <f t="shared" si="10"/>
        <v>1949536.6800000002</v>
      </c>
      <c r="M25" s="80"/>
    </row>
    <row r="26" spans="1:19">
      <c r="A26" s="142" t="s">
        <v>127</v>
      </c>
      <c r="B26" s="124">
        <f t="shared" si="11"/>
        <v>778763</v>
      </c>
      <c r="C26" s="124">
        <f t="shared" si="12"/>
        <v>127259</v>
      </c>
      <c r="D26" s="297">
        <f>'07711-mzdy'!L61+'07711-mzdy'!M61</f>
        <v>356000</v>
      </c>
      <c r="E26" s="317">
        <f t="shared" si="13"/>
        <v>1006377.1</v>
      </c>
      <c r="F26" s="317">
        <f t="shared" si="14"/>
        <v>128385.9</v>
      </c>
      <c r="G26" s="364">
        <f>E26+F26</f>
        <v>1134763</v>
      </c>
      <c r="H26" s="324">
        <f t="shared" si="15"/>
        <v>315013</v>
      </c>
      <c r="I26" s="325">
        <f t="shared" si="16"/>
        <v>1.3842793534614211</v>
      </c>
      <c r="J26" s="57"/>
      <c r="K26" s="380">
        <f t="shared" si="9"/>
        <v>1545547.206</v>
      </c>
      <c r="L26" s="386">
        <f t="shared" si="10"/>
        <v>1108302</v>
      </c>
      <c r="M26" s="80"/>
    </row>
    <row r="27" spans="1:19">
      <c r="A27" s="142" t="s">
        <v>128</v>
      </c>
      <c r="B27" s="124">
        <f t="shared" si="11"/>
        <v>2628198</v>
      </c>
      <c r="C27" s="124">
        <f t="shared" si="12"/>
        <v>0</v>
      </c>
      <c r="D27" s="297">
        <f>'07711-mzdy'!L62+'07711-mzdy'!M62</f>
        <v>694000</v>
      </c>
      <c r="E27" s="317">
        <f t="shared" si="13"/>
        <v>2707874</v>
      </c>
      <c r="F27" s="317">
        <f t="shared" si="14"/>
        <v>932784</v>
      </c>
      <c r="G27" s="364">
        <f t="shared" si="8"/>
        <v>3640658</v>
      </c>
      <c r="H27" s="324">
        <f t="shared" si="15"/>
        <v>874134</v>
      </c>
      <c r="I27" s="325">
        <f t="shared" si="16"/>
        <v>1.3159683415000196</v>
      </c>
      <c r="J27" s="57"/>
      <c r="K27" s="380">
        <f t="shared" si="9"/>
        <v>4958576.1960000005</v>
      </c>
      <c r="L27" s="386">
        <f t="shared" si="10"/>
        <v>3740340.4480000003</v>
      </c>
      <c r="M27" s="80"/>
    </row>
    <row r="28" spans="1:19">
      <c r="A28" s="142" t="s">
        <v>664</v>
      </c>
      <c r="B28" s="124">
        <f t="shared" si="11"/>
        <v>352402</v>
      </c>
      <c r="C28" s="124">
        <f t="shared" si="12"/>
        <v>102572</v>
      </c>
      <c r="D28" s="297">
        <f>'07711-mzdy'!L63+'07711-mzdy'!M63</f>
        <v>14400</v>
      </c>
      <c r="E28" s="317">
        <f t="shared" si="13"/>
        <v>324927.09999999998</v>
      </c>
      <c r="F28" s="317">
        <f t="shared" si="14"/>
        <v>41874.9</v>
      </c>
      <c r="G28" s="364">
        <f t="shared" si="8"/>
        <v>366802</v>
      </c>
      <c r="H28" s="320">
        <f t="shared" si="15"/>
        <v>-4147</v>
      </c>
      <c r="I28" s="326">
        <f t="shared" si="16"/>
        <v>0.98882056563031573</v>
      </c>
      <c r="J28" s="57"/>
      <c r="K28" s="380">
        <f t="shared" si="9"/>
        <v>499584.32400000002</v>
      </c>
      <c r="L28" s="386">
        <f t="shared" si="10"/>
        <v>501523.04800000001</v>
      </c>
      <c r="M28" s="80"/>
    </row>
    <row r="29" spans="1:19">
      <c r="A29" s="142" t="s">
        <v>130</v>
      </c>
      <c r="B29" s="124">
        <f t="shared" si="11"/>
        <v>451981</v>
      </c>
      <c r="C29" s="124">
        <f t="shared" si="12"/>
        <v>107400</v>
      </c>
      <c r="D29" s="297">
        <f>'07711-mzdy'!L64+'07711-mzdy'!M64</f>
        <v>0</v>
      </c>
      <c r="E29" s="317">
        <f t="shared" si="13"/>
        <v>203993.3</v>
      </c>
      <c r="F29" s="317">
        <f t="shared" si="14"/>
        <v>247987.7</v>
      </c>
      <c r="G29" s="364">
        <f t="shared" si="8"/>
        <v>451981</v>
      </c>
      <c r="H29" s="320">
        <f t="shared" si="15"/>
        <v>-23788</v>
      </c>
      <c r="I29" s="326">
        <f t="shared" si="16"/>
        <v>0.95000094583716044</v>
      </c>
      <c r="J29" s="57"/>
      <c r="K29" s="380">
        <f t="shared" si="9"/>
        <v>615598.12200000009</v>
      </c>
      <c r="L29" s="386">
        <f t="shared" si="10"/>
        <v>643239.68800000008</v>
      </c>
      <c r="M29" s="80"/>
    </row>
    <row r="30" spans="1:19">
      <c r="A30" s="142" t="s">
        <v>131</v>
      </c>
      <c r="B30" s="122"/>
      <c r="C30" s="122"/>
      <c r="D30" s="146">
        <f>SUM(D20:D29)</f>
        <v>0</v>
      </c>
      <c r="E30" s="318">
        <f>SUM(E20:E29)</f>
        <v>19544437.000000004</v>
      </c>
      <c r="F30" s="318">
        <f>SUM(F20:F29)</f>
        <v>9155681</v>
      </c>
      <c r="G30" s="364">
        <f>SUM(G20:G29)</f>
        <v>28700118</v>
      </c>
      <c r="H30" s="318">
        <f>SUM(H20:H29)</f>
        <v>3650485</v>
      </c>
      <c r="I30" s="323">
        <f t="shared" si="16"/>
        <v>1.1428542871553342</v>
      </c>
      <c r="J30" s="57"/>
      <c r="K30" s="381">
        <f t="shared" si="9"/>
        <v>39089560.716000006</v>
      </c>
      <c r="L30" s="387">
        <f t="shared" si="10"/>
        <v>33952324.432000004</v>
      </c>
      <c r="M30" s="80"/>
    </row>
    <row r="31" spans="1:19">
      <c r="A31" s="89" t="s">
        <v>132</v>
      </c>
      <c r="B31" s="89"/>
      <c r="C31" s="91"/>
      <c r="D31" s="91"/>
      <c r="E31" s="92">
        <f>'07711-mzdy'!E6+C$1*K14-E30</f>
        <v>-0.19511111080646515</v>
      </c>
      <c r="F31" s="92">
        <f>'07712-mzdy'!E9-F30</f>
        <v>0</v>
      </c>
      <c r="G31" s="92">
        <f>E31+F31</f>
        <v>-0.19511111080646515</v>
      </c>
      <c r="H31" s="58"/>
      <c r="J31" s="57"/>
      <c r="L31" s="81"/>
      <c r="M31" s="81"/>
    </row>
    <row r="32" spans="1:19">
      <c r="B32" s="58"/>
      <c r="C32" s="58"/>
      <c r="D32" s="58"/>
      <c r="E32" s="58"/>
      <c r="F32" s="58"/>
      <c r="G32" s="58"/>
      <c r="L32" s="57"/>
      <c r="M32" s="59"/>
      <c r="N32" s="59"/>
      <c r="O32" s="59"/>
      <c r="P32" s="59"/>
      <c r="R32" s="81"/>
      <c r="S32" s="81"/>
    </row>
    <row r="33" spans="1:18">
      <c r="A33" s="406" t="s">
        <v>139</v>
      </c>
      <c r="B33" s="409" t="s">
        <v>118</v>
      </c>
      <c r="C33" s="410"/>
      <c r="D33" s="400" t="s">
        <v>116</v>
      </c>
      <c r="E33" s="400"/>
      <c r="F33" s="145" t="s">
        <v>140</v>
      </c>
      <c r="G33" s="149" t="s">
        <v>141</v>
      </c>
      <c r="H33" s="149" t="s">
        <v>142</v>
      </c>
      <c r="I33" s="149" t="s">
        <v>143</v>
      </c>
      <c r="K33" s="57"/>
      <c r="L33" s="59"/>
      <c r="M33" s="59"/>
      <c r="N33" s="59"/>
      <c r="O33" s="59"/>
    </row>
    <row r="34" spans="1:18">
      <c r="A34" s="407"/>
      <c r="B34" s="140" t="str">
        <f>"Rok "&amp;Rok</f>
        <v>Rok 2024</v>
      </c>
      <c r="C34" s="140" t="str">
        <f>"Rok "&amp;Rok-1</f>
        <v>Rok 2023</v>
      </c>
      <c r="D34" s="140" t="s">
        <v>120</v>
      </c>
      <c r="E34" s="140" t="s">
        <v>121</v>
      </c>
      <c r="F34" s="125" t="s">
        <v>144</v>
      </c>
      <c r="G34" s="150" t="s">
        <v>125</v>
      </c>
      <c r="H34" s="151"/>
      <c r="I34" s="151"/>
      <c r="J34" s="59"/>
      <c r="K34" s="59"/>
    </row>
    <row r="35" spans="1:18">
      <c r="A35" s="142" t="s">
        <v>124</v>
      </c>
      <c r="B35" s="144"/>
      <c r="C35" s="124">
        <v>0</v>
      </c>
      <c r="D35" s="144">
        <f>B35-C35</f>
        <v>0</v>
      </c>
      <c r="E35" s="145"/>
      <c r="F35" s="125" t="s">
        <v>145</v>
      </c>
      <c r="G35" s="150" t="s">
        <v>124</v>
      </c>
      <c r="H35" s="151"/>
      <c r="I35" s="151"/>
      <c r="J35" s="59"/>
      <c r="K35" s="59"/>
    </row>
    <row r="36" spans="1:18">
      <c r="A36" s="142" t="s">
        <v>125</v>
      </c>
      <c r="B36" s="144"/>
      <c r="C36" s="124">
        <v>55000</v>
      </c>
      <c r="D36" s="144">
        <f t="shared" ref="D36:D39" si="17">B36-C36</f>
        <v>-55000</v>
      </c>
      <c r="E36" s="145">
        <f t="shared" ref="E36:E40" si="18">B36/C36</f>
        <v>0</v>
      </c>
      <c r="F36" s="125" t="s">
        <v>146</v>
      </c>
      <c r="G36" s="150" t="s">
        <v>125</v>
      </c>
      <c r="H36" s="151"/>
      <c r="I36" s="151"/>
      <c r="J36" s="59"/>
      <c r="K36" s="59"/>
    </row>
    <row r="37" spans="1:18">
      <c r="A37" s="142" t="s">
        <v>126</v>
      </c>
      <c r="B37" s="144"/>
      <c r="C37" s="124">
        <v>0</v>
      </c>
      <c r="D37" s="144">
        <f t="shared" si="17"/>
        <v>0</v>
      </c>
      <c r="E37" s="145"/>
      <c r="F37" s="125" t="s">
        <v>147</v>
      </c>
      <c r="G37" s="150" t="s">
        <v>125</v>
      </c>
      <c r="H37" s="151"/>
      <c r="I37" s="151">
        <v>25000</v>
      </c>
      <c r="J37" s="59"/>
      <c r="K37" s="59"/>
    </row>
    <row r="38" spans="1:18">
      <c r="A38" s="142" t="s">
        <v>127</v>
      </c>
      <c r="B38" s="144"/>
      <c r="C38" s="124">
        <v>0</v>
      </c>
      <c r="D38" s="144">
        <f t="shared" si="17"/>
        <v>0</v>
      </c>
      <c r="E38" s="145"/>
      <c r="F38" s="125" t="s">
        <v>148</v>
      </c>
      <c r="G38" s="150" t="s">
        <v>128</v>
      </c>
      <c r="H38" s="151"/>
      <c r="I38" s="151">
        <v>20000</v>
      </c>
      <c r="J38" s="59"/>
      <c r="K38" s="59"/>
    </row>
    <row r="39" spans="1:18">
      <c r="A39" s="142" t="s">
        <v>128</v>
      </c>
      <c r="B39" s="144"/>
      <c r="C39" s="124">
        <v>20000</v>
      </c>
      <c r="D39" s="144">
        <f t="shared" si="17"/>
        <v>-20000</v>
      </c>
      <c r="E39" s="145">
        <f t="shared" si="18"/>
        <v>0</v>
      </c>
      <c r="F39" s="125" t="s">
        <v>149</v>
      </c>
      <c r="G39" s="150" t="s">
        <v>125</v>
      </c>
      <c r="H39" s="151"/>
      <c r="I39" s="151">
        <v>30000</v>
      </c>
      <c r="J39" s="59"/>
      <c r="K39" s="59"/>
    </row>
    <row r="40" spans="1:18">
      <c r="A40" s="142" t="s">
        <v>131</v>
      </c>
      <c r="B40" s="144">
        <f>SUM(B35:B39)</f>
        <v>0</v>
      </c>
      <c r="C40" s="144">
        <f>SUM(C35:C39)</f>
        <v>75000</v>
      </c>
      <c r="D40" s="144">
        <f>SUM(D35:D39)</f>
        <v>-75000</v>
      </c>
      <c r="E40" s="145">
        <f t="shared" si="18"/>
        <v>0</v>
      </c>
      <c r="F40" s="403" t="s">
        <v>150</v>
      </c>
      <c r="G40" s="404"/>
      <c r="H40" s="152">
        <f>SUM(H34:H39)</f>
        <v>0</v>
      </c>
      <c r="I40" s="152">
        <f>SUM(I34:I39)</f>
        <v>75000</v>
      </c>
      <c r="J40" s="59"/>
      <c r="K40" s="59"/>
    </row>
    <row r="41" spans="1:18">
      <c r="A41" s="89" t="s">
        <v>132</v>
      </c>
      <c r="B41" s="92">
        <f>VstupySR!B19-B40</f>
        <v>0</v>
      </c>
      <c r="C41" s="58"/>
      <c r="D41" s="58"/>
      <c r="E41" s="58"/>
      <c r="F41" s="58"/>
      <c r="G41" s="58"/>
      <c r="J41" s="59"/>
      <c r="K41" s="59"/>
    </row>
    <row r="42" spans="1:18">
      <c r="A42" s="89"/>
      <c r="B42" s="92"/>
      <c r="C42" s="58"/>
      <c r="D42" s="58"/>
      <c r="E42" s="58"/>
      <c r="F42" s="58"/>
      <c r="G42" s="49" t="str">
        <f>"Pozor, v rozpise na 07712 je aj "&amp;VstupyUPJS!D22&amp;" EUR z roku "&amp;Rok-1&amp;"(napr. RF?)"</f>
        <v>Pozor, v rozpise na 07712 je aj 0 EUR z roku 2023(napr. RF?)</v>
      </c>
      <c r="K42" s="57"/>
      <c r="L42" s="59"/>
      <c r="M42" s="59"/>
      <c r="N42" s="59"/>
      <c r="O42" s="59"/>
    </row>
    <row r="43" spans="1:18">
      <c r="B43" s="56"/>
      <c r="C43" s="56"/>
      <c r="E43" s="56" t="s">
        <v>151</v>
      </c>
      <c r="F43" s="56">
        <v>0</v>
      </c>
      <c r="G43" s="49" t="str">
        <f>"na 07711 je aj "&amp;VstupyUPJS!D12&amp;" EUR roku "&amp;Rok-1&amp;" (napr. rektorát)"</f>
        <v>na 07711 je aj -44422 EUR roku 2023 (napr. rektorát)</v>
      </c>
      <c r="K43" s="57"/>
      <c r="L43" s="59"/>
      <c r="M43" s="59"/>
      <c r="N43" s="59"/>
      <c r="O43" s="59"/>
    </row>
    <row r="44" spans="1:18">
      <c r="A44" s="401" t="s">
        <v>152</v>
      </c>
      <c r="B44" s="400" t="str">
        <f>"Rok "&amp;Rok</f>
        <v>Rok 2024</v>
      </c>
      <c r="C44" s="400"/>
      <c r="D44" s="400"/>
      <c r="E44" s="400" t="str">
        <f>"Rok "&amp;Rok-1</f>
        <v>Rok 2023</v>
      </c>
      <c r="F44" s="400"/>
      <c r="G44" s="400"/>
      <c r="H44" s="400" t="s">
        <v>116</v>
      </c>
      <c r="I44" s="400"/>
      <c r="K44" s="57"/>
      <c r="L44" s="59"/>
      <c r="M44" s="59"/>
      <c r="N44" s="59"/>
      <c r="O44" s="59"/>
    </row>
    <row r="45" spans="1:18">
      <c r="A45" s="402"/>
      <c r="B45" s="140" t="s">
        <v>153</v>
      </c>
      <c r="C45" s="140" t="s">
        <v>154</v>
      </c>
      <c r="D45" s="141" t="s">
        <v>155</v>
      </c>
      <c r="E45" s="140" t="s">
        <v>153</v>
      </c>
      <c r="F45" s="140" t="s">
        <v>154</v>
      </c>
      <c r="G45" s="140" t="s">
        <v>155</v>
      </c>
      <c r="H45" s="140" t="s">
        <v>120</v>
      </c>
      <c r="I45" s="140" t="s">
        <v>121</v>
      </c>
      <c r="K45" s="405" t="str">
        <f>"Úprava 07711 ("&amp;Rok&amp;")"</f>
        <v>Úprava 07711 (2024)</v>
      </c>
      <c r="L45" s="405" t="str">
        <f>"Úprava 07712 ("&amp;Rok&amp;")"</f>
        <v>Úprava 07712 (2024)</v>
      </c>
      <c r="M45" s="74"/>
      <c r="N45" s="405" t="str">
        <f>"Úprava 07711 ("&amp;Rok-1&amp;")"</f>
        <v>Úprava 07711 (2023)</v>
      </c>
      <c r="O45" s="405" t="str">
        <f>"Úprava 07712 ("&amp;Rok-1&amp;")"</f>
        <v>Úprava 07712 (2023)</v>
      </c>
      <c r="Q45" s="405" t="str">
        <f>"Bez úpravy 07711 ("&amp;Rok-1&amp;")"</f>
        <v>Bez úpravy 07711 (2023)</v>
      </c>
      <c r="R45" s="405" t="str">
        <f>"Bez úpravy 07712 ("&amp;Rok-1&amp;")"</f>
        <v>Bez úpravy 07712 (2023)</v>
      </c>
    </row>
    <row r="46" spans="1:18" ht="15.75" customHeight="1">
      <c r="A46" s="142" t="s">
        <v>122</v>
      </c>
      <c r="B46" s="124">
        <f>'07711-TaS'!E11</f>
        <v>90195</v>
      </c>
      <c r="C46" s="124">
        <f>'07712-TaS'!D7</f>
        <v>0</v>
      </c>
      <c r="D46" s="143">
        <f t="shared" ref="D46:D57" si="19">B46+C46</f>
        <v>90195</v>
      </c>
      <c r="E46" s="124">
        <f t="shared" ref="E46:E57" si="20">Q47+$F$43*N47</f>
        <v>103296</v>
      </c>
      <c r="F46" s="124">
        <f t="shared" ref="F46:F57" si="21">R47+$F$43*O47</f>
        <v>0</v>
      </c>
      <c r="G46" s="124">
        <f t="shared" ref="G46:G57" si="22">E46+F46</f>
        <v>103296</v>
      </c>
      <c r="H46" s="144">
        <f t="shared" ref="H46:H57" si="23">D46-G46</f>
        <v>-13101</v>
      </c>
      <c r="I46" s="145">
        <f t="shared" ref="I46:I58" si="24">D46/G46</f>
        <v>0.87317030669144979</v>
      </c>
      <c r="K46" s="405"/>
      <c r="L46" s="405"/>
      <c r="M46" s="74"/>
      <c r="N46" s="405"/>
      <c r="O46" s="405"/>
      <c r="Q46" s="405"/>
      <c r="R46" s="405"/>
    </row>
    <row r="47" spans="1:18">
      <c r="A47" s="142" t="s">
        <v>156</v>
      </c>
      <c r="B47" s="124">
        <f>'07711-TaS'!E8</f>
        <v>2306196.5500000003</v>
      </c>
      <c r="C47" s="124"/>
      <c r="D47" s="143">
        <f t="shared" si="19"/>
        <v>2306196.5500000003</v>
      </c>
      <c r="E47" s="124">
        <f t="shared" si="20"/>
        <v>1400000</v>
      </c>
      <c r="F47" s="124">
        <f t="shared" si="21"/>
        <v>0</v>
      </c>
      <c r="G47" s="124">
        <f t="shared" si="22"/>
        <v>1400000</v>
      </c>
      <c r="H47" s="144">
        <f>D47-G47</f>
        <v>906196.55000000028</v>
      </c>
      <c r="I47" s="145">
        <f>D47/G47</f>
        <v>1.6472832500000003</v>
      </c>
      <c r="K47" s="296"/>
      <c r="L47" s="296"/>
      <c r="M47" s="74"/>
      <c r="N47" s="296"/>
      <c r="O47" s="296"/>
      <c r="Q47" s="124">
        <v>103296</v>
      </c>
      <c r="R47" s="124">
        <v>0</v>
      </c>
    </row>
    <row r="48" spans="1:18">
      <c r="A48" s="142" t="s">
        <v>157</v>
      </c>
      <c r="B48" s="124">
        <f>'07711-TaS'!E9</f>
        <v>1500518</v>
      </c>
      <c r="C48" s="124">
        <v>0</v>
      </c>
      <c r="D48" s="143">
        <f t="shared" si="19"/>
        <v>1500518</v>
      </c>
      <c r="E48" s="124">
        <f t="shared" si="20"/>
        <v>1270000</v>
      </c>
      <c r="F48" s="124">
        <f t="shared" si="21"/>
        <v>0</v>
      </c>
      <c r="G48" s="124">
        <f>E48+F48</f>
        <v>1270000</v>
      </c>
      <c r="H48" s="144">
        <f t="shared" si="23"/>
        <v>230518</v>
      </c>
      <c r="I48" s="145">
        <f t="shared" si="24"/>
        <v>1.1815102362204724</v>
      </c>
      <c r="K48" s="296"/>
      <c r="L48" s="296"/>
      <c r="M48" s="74"/>
      <c r="N48" s="296"/>
      <c r="O48" s="296"/>
      <c r="Q48" s="124">
        <v>1400000</v>
      </c>
      <c r="R48" s="124">
        <v>0</v>
      </c>
    </row>
    <row r="49" spans="1:18">
      <c r="A49" s="142" t="s">
        <v>158</v>
      </c>
      <c r="B49" s="124">
        <f>'07711-TaS'!E7</f>
        <v>207708</v>
      </c>
      <c r="C49" s="124">
        <f>'07712-TaS'!D6</f>
        <v>30000</v>
      </c>
      <c r="D49" s="143">
        <f t="shared" si="19"/>
        <v>237708</v>
      </c>
      <c r="E49" s="124">
        <f t="shared" si="20"/>
        <v>176771</v>
      </c>
      <c r="F49" s="124">
        <f t="shared" si="21"/>
        <v>30000</v>
      </c>
      <c r="G49" s="124">
        <f t="shared" si="22"/>
        <v>206771</v>
      </c>
      <c r="H49" s="144">
        <f>D49-G49</f>
        <v>30937</v>
      </c>
      <c r="I49" s="145">
        <f>D49/G49</f>
        <v>1.1496196275106276</v>
      </c>
      <c r="K49" s="296"/>
      <c r="L49" s="296"/>
      <c r="M49" s="74"/>
      <c r="N49" s="296"/>
      <c r="O49" s="296"/>
      <c r="Q49" s="124">
        <v>1270000</v>
      </c>
      <c r="R49" s="124">
        <v>0</v>
      </c>
    </row>
    <row r="50" spans="1:18">
      <c r="A50" s="142" t="s">
        <v>159</v>
      </c>
      <c r="B50" s="124">
        <v>0</v>
      </c>
      <c r="C50" s="124">
        <f>'07712-TaS'!D5</f>
        <v>250000</v>
      </c>
      <c r="D50" s="143">
        <f t="shared" si="19"/>
        <v>250000</v>
      </c>
      <c r="E50" s="124">
        <f t="shared" si="20"/>
        <v>0</v>
      </c>
      <c r="F50" s="124">
        <f t="shared" si="21"/>
        <v>250000</v>
      </c>
      <c r="G50" s="124">
        <f t="shared" si="22"/>
        <v>250000</v>
      </c>
      <c r="H50" s="144">
        <f t="shared" si="23"/>
        <v>0</v>
      </c>
      <c r="I50" s="145">
        <f t="shared" si="24"/>
        <v>1</v>
      </c>
      <c r="K50" s="296"/>
      <c r="L50" s="296"/>
      <c r="M50" s="74"/>
      <c r="N50" s="296"/>
      <c r="O50" s="296"/>
      <c r="Q50" s="124">
        <v>176771</v>
      </c>
      <c r="R50" s="124">
        <v>30000</v>
      </c>
    </row>
    <row r="51" spans="1:18">
      <c r="A51" s="142" t="s">
        <v>124</v>
      </c>
      <c r="B51" s="124">
        <f>ROUND('07711-TaS'!H64,0)</f>
        <v>204303</v>
      </c>
      <c r="C51" s="124">
        <f>'07712-TaS'!C12</f>
        <v>75914</v>
      </c>
      <c r="D51" s="143">
        <f t="shared" si="19"/>
        <v>280217</v>
      </c>
      <c r="E51" s="124">
        <f t="shared" si="20"/>
        <v>247312</v>
      </c>
      <c r="F51" s="124">
        <f t="shared" si="21"/>
        <v>59694</v>
      </c>
      <c r="G51" s="124">
        <f t="shared" si="22"/>
        <v>307006</v>
      </c>
      <c r="H51" s="144">
        <f t="shared" si="23"/>
        <v>-26789</v>
      </c>
      <c r="I51" s="145">
        <f t="shared" si="24"/>
        <v>0.91274111906607691</v>
      </c>
      <c r="K51" s="296"/>
      <c r="L51" s="296"/>
      <c r="M51" s="74"/>
      <c r="N51" s="296"/>
      <c r="O51" s="296"/>
      <c r="Q51" s="124">
        <v>0</v>
      </c>
      <c r="R51" s="124">
        <v>250000</v>
      </c>
    </row>
    <row r="52" spans="1:18">
      <c r="A52" s="311" t="s">
        <v>125</v>
      </c>
      <c r="B52" s="312">
        <f>ROUND('07711-TaS'!H65,0)</f>
        <v>104148</v>
      </c>
      <c r="C52" s="312">
        <f>'07712-TaS'!C13</f>
        <v>91078</v>
      </c>
      <c r="D52" s="313">
        <f t="shared" si="19"/>
        <v>195226</v>
      </c>
      <c r="E52" s="124">
        <f t="shared" si="20"/>
        <v>120443</v>
      </c>
      <c r="F52" s="124">
        <f t="shared" si="21"/>
        <v>116289</v>
      </c>
      <c r="G52" s="124">
        <f t="shared" si="22"/>
        <v>236732</v>
      </c>
      <c r="H52" s="144">
        <f t="shared" si="23"/>
        <v>-41506</v>
      </c>
      <c r="I52" s="145">
        <f t="shared" si="24"/>
        <v>0.82467093591064999</v>
      </c>
      <c r="K52" s="296"/>
      <c r="L52" s="296"/>
      <c r="M52" s="74"/>
      <c r="N52" s="296"/>
      <c r="O52" s="296"/>
      <c r="Q52" s="124">
        <v>247312</v>
      </c>
      <c r="R52" s="124">
        <v>59694</v>
      </c>
    </row>
    <row r="53" spans="1:18">
      <c r="A53" s="142" t="s">
        <v>126</v>
      </c>
      <c r="B53" s="124">
        <f>ROUND('07711-TaS'!H66,0)</f>
        <v>56254</v>
      </c>
      <c r="C53" s="124">
        <f>'07712-TaS'!C14</f>
        <v>9159</v>
      </c>
      <c r="D53" s="143">
        <f t="shared" si="19"/>
        <v>65413</v>
      </c>
      <c r="E53" s="124">
        <f t="shared" si="20"/>
        <v>59946</v>
      </c>
      <c r="F53" s="124">
        <f t="shared" si="21"/>
        <v>8007</v>
      </c>
      <c r="G53" s="124">
        <f t="shared" si="22"/>
        <v>67953</v>
      </c>
      <c r="H53" s="144">
        <f t="shared" si="23"/>
        <v>-2540</v>
      </c>
      <c r="I53" s="145">
        <f t="shared" si="24"/>
        <v>0.96262122349270818</v>
      </c>
      <c r="K53" s="296"/>
      <c r="L53" s="296"/>
      <c r="M53" s="74"/>
      <c r="N53" s="296"/>
      <c r="O53" s="296"/>
      <c r="Q53" s="124">
        <v>120443</v>
      </c>
      <c r="R53" s="124">
        <v>116289</v>
      </c>
    </row>
    <row r="54" spans="1:18" ht="15.6" customHeight="1">
      <c r="A54" s="142" t="s">
        <v>127</v>
      </c>
      <c r="B54" s="124">
        <f>ROUND('07711-TaS'!H67,0)</f>
        <v>48873</v>
      </c>
      <c r="C54" s="124">
        <f>'07712-TaS'!C15</f>
        <v>2745</v>
      </c>
      <c r="D54" s="143">
        <f t="shared" si="19"/>
        <v>51618</v>
      </c>
      <c r="E54" s="124">
        <f t="shared" si="20"/>
        <v>51279</v>
      </c>
      <c r="F54" s="124">
        <f t="shared" si="21"/>
        <v>2258</v>
      </c>
      <c r="G54" s="124">
        <f t="shared" si="22"/>
        <v>53537</v>
      </c>
      <c r="H54" s="144">
        <f t="shared" si="23"/>
        <v>-1919</v>
      </c>
      <c r="I54" s="145">
        <f t="shared" si="24"/>
        <v>0.9641556306853204</v>
      </c>
      <c r="K54" s="296"/>
      <c r="L54" s="296"/>
      <c r="M54" s="74"/>
      <c r="N54" s="296"/>
      <c r="O54" s="296"/>
      <c r="Q54" s="124">
        <v>59946</v>
      </c>
      <c r="R54" s="124">
        <v>8007</v>
      </c>
    </row>
    <row r="55" spans="1:18">
      <c r="A55" s="142" t="s">
        <v>128</v>
      </c>
      <c r="B55" s="124">
        <f>ROUND('07711-TaS'!H68,0)</f>
        <v>80512</v>
      </c>
      <c r="C55" s="124">
        <f>'07712-TaS'!C16</f>
        <v>26639</v>
      </c>
      <c r="D55" s="143">
        <f t="shared" si="19"/>
        <v>107151</v>
      </c>
      <c r="E55" s="124">
        <f t="shared" si="20"/>
        <v>92914</v>
      </c>
      <c r="F55" s="124">
        <f t="shared" si="21"/>
        <v>21574</v>
      </c>
      <c r="G55" s="124">
        <f t="shared" si="22"/>
        <v>114488</v>
      </c>
      <c r="H55" s="144">
        <f t="shared" si="23"/>
        <v>-7337</v>
      </c>
      <c r="I55" s="145">
        <f t="shared" si="24"/>
        <v>0.93591468101460418</v>
      </c>
      <c r="K55" s="296"/>
      <c r="L55" s="296"/>
      <c r="M55" s="74"/>
      <c r="N55" s="296"/>
      <c r="O55" s="296"/>
      <c r="Q55" s="124">
        <v>51279</v>
      </c>
      <c r="R55" s="124">
        <v>2258</v>
      </c>
    </row>
    <row r="56" spans="1:18">
      <c r="A56" s="142" t="s">
        <v>664</v>
      </c>
      <c r="B56" s="124">
        <f>ROUND('07711-TaS'!H69,0)</f>
        <v>17018</v>
      </c>
      <c r="C56" s="124">
        <f>'07712-TaS'!C17</f>
        <v>451</v>
      </c>
      <c r="D56" s="143">
        <f t="shared" si="19"/>
        <v>17469</v>
      </c>
      <c r="E56" s="124">
        <f t="shared" si="20"/>
        <v>13452</v>
      </c>
      <c r="F56" s="124">
        <f t="shared" si="21"/>
        <v>734</v>
      </c>
      <c r="G56" s="124">
        <f t="shared" si="22"/>
        <v>14186</v>
      </c>
      <c r="H56" s="144">
        <f t="shared" si="23"/>
        <v>3283</v>
      </c>
      <c r="I56" s="145">
        <f t="shared" si="24"/>
        <v>1.2314253489355702</v>
      </c>
      <c r="K56" s="296"/>
      <c r="L56" s="296"/>
      <c r="M56" s="74"/>
      <c r="N56" s="296"/>
      <c r="O56" s="296"/>
      <c r="Q56" s="124">
        <v>92914</v>
      </c>
      <c r="R56" s="124">
        <v>21574</v>
      </c>
    </row>
    <row r="57" spans="1:18">
      <c r="A57" s="142" t="s">
        <v>130</v>
      </c>
      <c r="B57" s="124"/>
      <c r="C57" s="124">
        <f>'07712-TaS'!C18</f>
        <v>6296</v>
      </c>
      <c r="D57" s="143">
        <f t="shared" si="19"/>
        <v>6296</v>
      </c>
      <c r="E57" s="124">
        <f t="shared" si="20"/>
        <v>0</v>
      </c>
      <c r="F57" s="124">
        <f t="shared" si="21"/>
        <v>11445</v>
      </c>
      <c r="G57" s="124">
        <f t="shared" si="22"/>
        <v>11445</v>
      </c>
      <c r="H57" s="144">
        <f t="shared" si="23"/>
        <v>-5149</v>
      </c>
      <c r="I57" s="145">
        <f t="shared" si="24"/>
        <v>0.55010921799912627</v>
      </c>
      <c r="K57" s="296"/>
      <c r="L57" s="296"/>
      <c r="M57" s="74"/>
      <c r="N57" s="296"/>
      <c r="O57" s="296"/>
      <c r="Q57" s="124">
        <v>13452</v>
      </c>
      <c r="R57" s="124">
        <v>734</v>
      </c>
    </row>
    <row r="58" spans="1:18">
      <c r="A58" s="142" t="s">
        <v>131</v>
      </c>
      <c r="B58" s="144">
        <f>SUM(B46:B57)</f>
        <v>4615725.5500000007</v>
      </c>
      <c r="C58" s="144">
        <f t="shared" ref="C58:H58" si="25">SUM(C46:C57)</f>
        <v>492282</v>
      </c>
      <c r="D58" s="143">
        <f t="shared" si="25"/>
        <v>5108007.5500000007</v>
      </c>
      <c r="E58" s="144">
        <f t="shared" si="25"/>
        <v>3535413</v>
      </c>
      <c r="F58" s="144">
        <f t="shared" si="25"/>
        <v>500001</v>
      </c>
      <c r="G58" s="144">
        <f t="shared" si="25"/>
        <v>4035414</v>
      </c>
      <c r="H58" s="144">
        <f t="shared" si="25"/>
        <v>1072593.5500000003</v>
      </c>
      <c r="I58" s="145">
        <f t="shared" si="24"/>
        <v>1.265795169962735</v>
      </c>
      <c r="K58" s="296"/>
      <c r="L58" s="296"/>
      <c r="M58" s="74"/>
      <c r="N58" s="296"/>
      <c r="O58" s="296"/>
      <c r="Q58" s="124"/>
      <c r="R58" s="124">
        <v>11445</v>
      </c>
    </row>
    <row r="59" spans="1:18">
      <c r="A59" s="89" t="s">
        <v>132</v>
      </c>
      <c r="B59" s="90">
        <f>'07711-TaS'!E6-B58</f>
        <v>-0.55000000074505806</v>
      </c>
      <c r="C59" s="90">
        <f>'07712-TaS'!D2+'07712-TaS'!D3-C58</f>
        <v>7718</v>
      </c>
      <c r="D59" s="90">
        <f>B59+C59</f>
        <v>7717.4499999992549</v>
      </c>
      <c r="K59" s="146">
        <f>SUM(K47:K58)</f>
        <v>0</v>
      </c>
      <c r="L59" s="146">
        <f>SUM(L47:L58)</f>
        <v>0</v>
      </c>
      <c r="M59" s="74"/>
      <c r="N59" s="146">
        <f>SUM(N47:N58)</f>
        <v>0</v>
      </c>
      <c r="O59" s="146">
        <f>SUM(O47:O58)</f>
        <v>0</v>
      </c>
      <c r="Q59" s="144">
        <f t="shared" ref="Q59:R59" si="26">SUM(Q47:Q58)</f>
        <v>3535413</v>
      </c>
      <c r="R59" s="144">
        <f t="shared" si="26"/>
        <v>500001</v>
      </c>
    </row>
    <row r="60" spans="1:18">
      <c r="B60" s="27"/>
      <c r="C60" s="27"/>
      <c r="D60" s="27"/>
    </row>
    <row r="61" spans="1:18">
      <c r="A61" s="49" t="str">
        <f>"Pozor, tu je aj "&amp;VstupyUPJS!B23/1000&amp;" tis. EUR z roku "&amp;Rok-1&amp;". Sumy by sa mali upraviť podľa zostatkov. Zároveň sa dá použiť prebytok z valorizácie doktorandov vo výške "&amp;K70&amp;" EUR"</f>
        <v>Pozor, tu je aj 325 tis. EUR z roku 2023. Sumy by sa mali upraviť podľa zostatkov. Zároveň sa dá použiť prebytok z valorizácie doktorandov vo výške 32961 EUR</v>
      </c>
    </row>
    <row r="62" spans="1:18">
      <c r="A62" s="406" t="s">
        <v>160</v>
      </c>
      <c r="B62" s="400" t="str">
        <f>"Rok "&amp;Rok</f>
        <v>Rok 2024</v>
      </c>
      <c r="C62" s="400"/>
      <c r="D62" s="400"/>
      <c r="E62" s="400" t="str">
        <f>"Rok "&amp;Rok-1</f>
        <v>Rok 2023</v>
      </c>
      <c r="F62" s="400"/>
      <c r="G62" s="400"/>
      <c r="H62" s="400" t="s">
        <v>116</v>
      </c>
      <c r="I62" s="400"/>
      <c r="K62" s="405" t="str">
        <f>"Valorizácia 07712 ("&amp;Rok&amp;")"</f>
        <v>Valorizácia 07712 (2024)</v>
      </c>
      <c r="L62" s="408" t="str">
        <f>"Spolu "&amp;Rok</f>
        <v>Spolu 2024</v>
      </c>
    </row>
    <row r="63" spans="1:18">
      <c r="A63" s="407"/>
      <c r="B63" s="140" t="s">
        <v>161</v>
      </c>
      <c r="C63" s="140" t="s">
        <v>162</v>
      </c>
      <c r="D63" s="141" t="s">
        <v>163</v>
      </c>
      <c r="E63" s="140" t="s">
        <v>161</v>
      </c>
      <c r="F63" s="140" t="s">
        <v>162</v>
      </c>
      <c r="G63" s="140" t="s">
        <v>163</v>
      </c>
      <c r="H63" s="140" t="s">
        <v>120</v>
      </c>
      <c r="I63" s="140" t="s">
        <v>121</v>
      </c>
      <c r="K63" s="405"/>
      <c r="L63" s="408"/>
    </row>
    <row r="64" spans="1:18">
      <c r="A64" s="142" t="s">
        <v>124</v>
      </c>
      <c r="B64" s="124">
        <f>'07712-DoktStip'!D21</f>
        <v>720100</v>
      </c>
      <c r="C64" s="124">
        <f>'07712-DoktStip'!J9</f>
        <v>109860</v>
      </c>
      <c r="D64" s="143">
        <f>B64+C64</f>
        <v>829960</v>
      </c>
      <c r="E64" s="124">
        <v>799587</v>
      </c>
      <c r="F64" s="124">
        <v>106652</v>
      </c>
      <c r="G64" s="124">
        <f>E64+F64</f>
        <v>906239</v>
      </c>
      <c r="H64" s="144">
        <f>D64-G64</f>
        <v>-76279</v>
      </c>
      <c r="I64" s="145">
        <f t="shared" ref="I64:I69" si="27">D64/G64</f>
        <v>0.91582904730429826</v>
      </c>
      <c r="K64" s="299">
        <f>'07712-DoktStip'!D30</f>
        <v>100568</v>
      </c>
      <c r="L64" s="282">
        <f>D64+K64</f>
        <v>930528</v>
      </c>
    </row>
    <row r="65" spans="1:14">
      <c r="A65" s="142" t="s">
        <v>125</v>
      </c>
      <c r="B65" s="124">
        <f>'07712-DoktStip'!D22</f>
        <v>1554800.5</v>
      </c>
      <c r="C65" s="124">
        <f>'07712-DoktStip'!J10</f>
        <v>135494</v>
      </c>
      <c r="D65" s="143">
        <f>B65+C65</f>
        <v>1690294.5</v>
      </c>
      <c r="E65" s="124">
        <v>1691782</v>
      </c>
      <c r="F65" s="124">
        <v>196896</v>
      </c>
      <c r="G65" s="124">
        <f>E65+F65</f>
        <v>1888678</v>
      </c>
      <c r="H65" s="144">
        <f>D65-G65</f>
        <v>-198383.5</v>
      </c>
      <c r="I65" s="145">
        <f t="shared" si="27"/>
        <v>0.8949617139607704</v>
      </c>
      <c r="K65" s="299">
        <f>'07712-DoktStip'!D31</f>
        <v>203906</v>
      </c>
      <c r="L65" s="282">
        <f>D65+K65</f>
        <v>1894200.5</v>
      </c>
      <c r="N65" s="57"/>
    </row>
    <row r="66" spans="1:14">
      <c r="A66" s="142" t="s">
        <v>126</v>
      </c>
      <c r="B66" s="124">
        <f>'07712-DoktStip'!D23</f>
        <v>357096.5</v>
      </c>
      <c r="C66" s="124">
        <f>'07712-DoktStip'!J11</f>
        <v>47606</v>
      </c>
      <c r="D66" s="143">
        <f>B66+C66</f>
        <v>404702.5</v>
      </c>
      <c r="E66" s="124">
        <v>374801.5</v>
      </c>
      <c r="F66" s="124">
        <v>41020</v>
      </c>
      <c r="G66" s="124">
        <f>E66+F66</f>
        <v>415821.5</v>
      </c>
      <c r="H66" s="144">
        <f>D66-G66</f>
        <v>-11119</v>
      </c>
      <c r="I66" s="145">
        <f t="shared" si="27"/>
        <v>0.97326016091039058</v>
      </c>
      <c r="K66" s="299">
        <f>'07712-DoktStip'!D32</f>
        <v>49490</v>
      </c>
      <c r="L66" s="282">
        <f>D66+K66</f>
        <v>454192.5</v>
      </c>
      <c r="N66" s="57"/>
    </row>
    <row r="67" spans="1:14">
      <c r="A67" s="142" t="s">
        <v>127</v>
      </c>
      <c r="B67" s="124">
        <f>'07712-DoktStip'!D24</f>
        <v>85192</v>
      </c>
      <c r="C67" s="124">
        <f>'07712-DoktStip'!J12</f>
        <v>14648</v>
      </c>
      <c r="D67" s="143">
        <f>B67+C67</f>
        <v>99840</v>
      </c>
      <c r="E67" s="124">
        <v>91975</v>
      </c>
      <c r="F67" s="124">
        <v>8204</v>
      </c>
      <c r="G67" s="124">
        <f>E67+F67</f>
        <v>100179</v>
      </c>
      <c r="H67" s="144">
        <f>D67-G67</f>
        <v>-339</v>
      </c>
      <c r="I67" s="145">
        <f t="shared" si="27"/>
        <v>0.99661605725750901</v>
      </c>
      <c r="K67" s="299">
        <f>'07712-DoktStip'!D33</f>
        <v>12872</v>
      </c>
      <c r="L67" s="282">
        <f>D67+K67</f>
        <v>112712</v>
      </c>
      <c r="N67" s="57"/>
    </row>
    <row r="68" spans="1:14">
      <c r="A68" s="142" t="s">
        <v>128</v>
      </c>
      <c r="B68" s="124">
        <f>'07712-DoktStip'!D25</f>
        <v>502711.5</v>
      </c>
      <c r="C68" s="124">
        <f>'07712-DoktStip'!J13</f>
        <v>58592</v>
      </c>
      <c r="D68" s="143">
        <f>B68+C68</f>
        <v>561303.5</v>
      </c>
      <c r="E68" s="124">
        <v>480506</v>
      </c>
      <c r="F68" s="124">
        <v>57428</v>
      </c>
      <c r="G68" s="124">
        <f>E68+F68</f>
        <v>537934</v>
      </c>
      <c r="H68" s="144">
        <f>D68-G68</f>
        <v>23369.5</v>
      </c>
      <c r="I68" s="145">
        <f t="shared" si="27"/>
        <v>1.0434430617882491</v>
      </c>
      <c r="K68" s="299">
        <f>'07712-DoktStip'!D34</f>
        <v>68302</v>
      </c>
      <c r="L68" s="282">
        <f>D68+K68</f>
        <v>629605.5</v>
      </c>
      <c r="N68" s="57"/>
    </row>
    <row r="69" spans="1:14">
      <c r="A69" s="142" t="s">
        <v>131</v>
      </c>
      <c r="B69" s="144">
        <f t="shared" ref="B69:H69" si="28">SUM(B64:B68)</f>
        <v>3219900.5</v>
      </c>
      <c r="C69" s="144">
        <f t="shared" si="28"/>
        <v>366200</v>
      </c>
      <c r="D69" s="143">
        <f t="shared" si="28"/>
        <v>3586100.5</v>
      </c>
      <c r="E69" s="144">
        <f t="shared" si="28"/>
        <v>3438651.5</v>
      </c>
      <c r="F69" s="144">
        <f t="shared" si="28"/>
        <v>410200</v>
      </c>
      <c r="G69" s="144">
        <f t="shared" si="28"/>
        <v>3848851.5</v>
      </c>
      <c r="H69" s="144">
        <f t="shared" si="28"/>
        <v>-262751</v>
      </c>
      <c r="I69" s="145">
        <f t="shared" si="27"/>
        <v>0.93173262205621599</v>
      </c>
      <c r="K69" s="299">
        <f>SUM(K64:K68)</f>
        <v>435138</v>
      </c>
      <c r="L69" s="282">
        <f>SUM(L64:L68)</f>
        <v>4021238.5</v>
      </c>
      <c r="N69" s="57"/>
    </row>
    <row r="70" spans="1:14">
      <c r="A70" s="89" t="s">
        <v>132</v>
      </c>
      <c r="B70" s="93">
        <f>VstupyUPJS!B24-B69</f>
        <v>-325000</v>
      </c>
      <c r="C70" s="93">
        <f>VstupyUPJS!B25-C69</f>
        <v>0</v>
      </c>
      <c r="K70" s="93">
        <f>VstupyUPJS!B26-K69</f>
        <v>32961</v>
      </c>
      <c r="L70" s="5"/>
      <c r="N70" s="57"/>
    </row>
    <row r="72" spans="1:14">
      <c r="A72" s="406" t="s">
        <v>164</v>
      </c>
      <c r="B72" s="400" t="str">
        <f>"Rok "&amp;Rok</f>
        <v>Rok 2024</v>
      </c>
      <c r="C72" s="400"/>
      <c r="D72" s="400"/>
      <c r="E72" s="400" t="str">
        <f>"Rok "&amp;Rok-1</f>
        <v>Rok 2023</v>
      </c>
      <c r="F72" s="400"/>
      <c r="G72" s="400"/>
      <c r="H72" s="400" t="s">
        <v>116</v>
      </c>
      <c r="I72" s="400"/>
    </row>
    <row r="73" spans="1:14">
      <c r="A73" s="407"/>
      <c r="B73" s="140" t="s">
        <v>165</v>
      </c>
      <c r="C73" s="140" t="s">
        <v>166</v>
      </c>
      <c r="D73" s="141" t="s">
        <v>163</v>
      </c>
      <c r="E73" s="140" t="s">
        <v>165</v>
      </c>
      <c r="F73" s="140" t="s">
        <v>166</v>
      </c>
      <c r="G73" s="140" t="s">
        <v>163</v>
      </c>
      <c r="H73" s="140" t="s">
        <v>120</v>
      </c>
      <c r="I73" s="140" t="s">
        <v>121</v>
      </c>
    </row>
    <row r="74" spans="1:14">
      <c r="A74" s="36" t="s">
        <v>167</v>
      </c>
      <c r="B74" s="124">
        <f>'07715-Stip'!E4</f>
        <v>49710</v>
      </c>
      <c r="C74" s="124">
        <v>0</v>
      </c>
      <c r="D74" s="143">
        <f t="shared" ref="D74:D80" si="29">B74+C74</f>
        <v>49710</v>
      </c>
      <c r="E74" s="124">
        <v>49230</v>
      </c>
      <c r="F74" s="124">
        <v>0</v>
      </c>
      <c r="G74" s="124">
        <f>E74+F74</f>
        <v>49230</v>
      </c>
      <c r="H74" s="144">
        <f t="shared" ref="H74:H80" si="30">D74-G74</f>
        <v>480</v>
      </c>
      <c r="I74" s="145">
        <f>D74/G74</f>
        <v>1.0097501523461303</v>
      </c>
    </row>
    <row r="75" spans="1:14">
      <c r="A75" s="142" t="s">
        <v>124</v>
      </c>
      <c r="B75" s="124">
        <f>'07715-Stip'!C13</f>
        <v>133705</v>
      </c>
      <c r="C75" s="124">
        <f>'07715-Stip'!E13</f>
        <v>13860</v>
      </c>
      <c r="D75" s="143">
        <f t="shared" si="29"/>
        <v>147565</v>
      </c>
      <c r="E75" s="124">
        <v>132388</v>
      </c>
      <c r="F75" s="124">
        <v>12420</v>
      </c>
      <c r="G75" s="124">
        <f t="shared" ref="G75:G80" si="31">E75+F75</f>
        <v>144808</v>
      </c>
      <c r="H75" s="144">
        <f t="shared" si="30"/>
        <v>2757</v>
      </c>
      <c r="I75" s="145">
        <f t="shared" ref="I75:I81" si="32">D75/G75</f>
        <v>1.0190390033699797</v>
      </c>
    </row>
    <row r="76" spans="1:14">
      <c r="A76" s="142" t="s">
        <v>125</v>
      </c>
      <c r="B76" s="124">
        <f>'07715-Stip'!C14</f>
        <v>33575</v>
      </c>
      <c r="C76" s="124">
        <f>'07715-Stip'!E14</f>
        <v>118170</v>
      </c>
      <c r="D76" s="143">
        <f t="shared" si="29"/>
        <v>151745</v>
      </c>
      <c r="E76" s="124">
        <v>32959</v>
      </c>
      <c r="F76" s="124">
        <v>113850</v>
      </c>
      <c r="G76" s="124">
        <f t="shared" si="31"/>
        <v>146809</v>
      </c>
      <c r="H76" s="144">
        <f t="shared" si="30"/>
        <v>4936</v>
      </c>
      <c r="I76" s="145">
        <f t="shared" si="32"/>
        <v>1.033621916912451</v>
      </c>
    </row>
    <row r="77" spans="1:14">
      <c r="A77" s="142" t="s">
        <v>126</v>
      </c>
      <c r="B77" s="124">
        <f>'07715-Stip'!C15</f>
        <v>30005</v>
      </c>
      <c r="C77" s="124">
        <f>'07715-Stip'!E15</f>
        <v>0</v>
      </c>
      <c r="D77" s="143">
        <f t="shared" si="29"/>
        <v>30005</v>
      </c>
      <c r="E77" s="124">
        <v>30090</v>
      </c>
      <c r="F77" s="124">
        <v>0</v>
      </c>
      <c r="G77" s="124">
        <f t="shared" si="31"/>
        <v>30090</v>
      </c>
      <c r="H77" s="144">
        <f t="shared" si="30"/>
        <v>-85</v>
      </c>
      <c r="I77" s="145">
        <f t="shared" si="32"/>
        <v>0.99717514124293782</v>
      </c>
    </row>
    <row r="78" spans="1:14">
      <c r="A78" s="142" t="s">
        <v>127</v>
      </c>
      <c r="B78" s="124">
        <f>'07715-Stip'!C16</f>
        <v>24990</v>
      </c>
      <c r="C78" s="124">
        <f>'07715-Stip'!E16</f>
        <v>0</v>
      </c>
      <c r="D78" s="143">
        <f t="shared" si="29"/>
        <v>24990</v>
      </c>
      <c r="E78" s="124">
        <v>24098</v>
      </c>
      <c r="F78" s="124">
        <v>0</v>
      </c>
      <c r="G78" s="124">
        <f t="shared" si="31"/>
        <v>24098</v>
      </c>
      <c r="H78" s="144">
        <f t="shared" si="30"/>
        <v>892</v>
      </c>
      <c r="I78" s="145">
        <f t="shared" si="32"/>
        <v>1.0370155199601627</v>
      </c>
    </row>
    <row r="79" spans="1:14">
      <c r="A79" s="142" t="s">
        <v>128</v>
      </c>
      <c r="B79" s="124">
        <f>'07715-Stip'!C17</f>
        <v>56440</v>
      </c>
      <c r="C79" s="124">
        <f>'07715-Stip'!E17</f>
        <v>13320</v>
      </c>
      <c r="D79" s="143">
        <f t="shared" si="29"/>
        <v>69760</v>
      </c>
      <c r="E79" s="124">
        <v>55824</v>
      </c>
      <c r="F79" s="124">
        <v>17100</v>
      </c>
      <c r="G79" s="124">
        <f t="shared" si="31"/>
        <v>72924</v>
      </c>
      <c r="H79" s="144">
        <f t="shared" si="30"/>
        <v>-3164</v>
      </c>
      <c r="I79" s="145">
        <f t="shared" si="32"/>
        <v>0.95661236355657941</v>
      </c>
    </row>
    <row r="80" spans="1:14">
      <c r="A80" s="142" t="s">
        <v>664</v>
      </c>
      <c r="B80" s="124">
        <f>'07715-Stip'!C18</f>
        <v>2975</v>
      </c>
      <c r="C80" s="124">
        <f>'07715-Stip'!E18</f>
        <v>0</v>
      </c>
      <c r="D80" s="143">
        <f t="shared" si="29"/>
        <v>2975</v>
      </c>
      <c r="E80" s="124">
        <v>3613</v>
      </c>
      <c r="F80" s="124">
        <v>0</v>
      </c>
      <c r="G80" s="124">
        <f t="shared" si="31"/>
        <v>3613</v>
      </c>
      <c r="H80" s="144">
        <f t="shared" si="30"/>
        <v>-638</v>
      </c>
      <c r="I80" s="145">
        <f>D80/G80</f>
        <v>0.82341544422917246</v>
      </c>
    </row>
    <row r="81" spans="1:9">
      <c r="A81" s="142" t="s">
        <v>131</v>
      </c>
      <c r="B81" s="144">
        <f t="shared" ref="B81:H81" si="33">SUM(B74:B80)</f>
        <v>331400</v>
      </c>
      <c r="C81" s="144">
        <f t="shared" si="33"/>
        <v>145350</v>
      </c>
      <c r="D81" s="143">
        <f t="shared" si="33"/>
        <v>476750</v>
      </c>
      <c r="E81" s="144">
        <f t="shared" si="33"/>
        <v>328202</v>
      </c>
      <c r="F81" s="144">
        <f t="shared" si="33"/>
        <v>143370</v>
      </c>
      <c r="G81" s="144">
        <f t="shared" si="33"/>
        <v>471572</v>
      </c>
      <c r="H81" s="144">
        <f t="shared" si="33"/>
        <v>5178</v>
      </c>
      <c r="I81" s="145">
        <f t="shared" si="32"/>
        <v>1.0109802956918561</v>
      </c>
    </row>
    <row r="82" spans="1:9">
      <c r="A82" s="89" t="s">
        <v>132</v>
      </c>
      <c r="B82" s="93">
        <f>VstupySR!B27-B81</f>
        <v>0</v>
      </c>
      <c r="C82" s="93">
        <f>VstupySR!B26-C81</f>
        <v>0</v>
      </c>
      <c r="D82" s="89"/>
    </row>
    <row r="83" spans="1:9">
      <c r="C83" s="49"/>
    </row>
  </sheetData>
  <mergeCells count="40">
    <mergeCell ref="Q2:Q3"/>
    <mergeCell ref="A18:A19"/>
    <mergeCell ref="A33:A34"/>
    <mergeCell ref="D33:E33"/>
    <mergeCell ref="B33:C33"/>
    <mergeCell ref="Q15:R15"/>
    <mergeCell ref="R2:R3"/>
    <mergeCell ref="H2:I2"/>
    <mergeCell ref="E18:I18"/>
    <mergeCell ref="K1:K3"/>
    <mergeCell ref="L1:L3"/>
    <mergeCell ref="D18:D19"/>
    <mergeCell ref="N1:N3"/>
    <mergeCell ref="O1:O3"/>
    <mergeCell ref="A2:A3"/>
    <mergeCell ref="B2:D2"/>
    <mergeCell ref="Q45:Q46"/>
    <mergeCell ref="R45:R46"/>
    <mergeCell ref="K62:K63"/>
    <mergeCell ref="L62:L63"/>
    <mergeCell ref="H62:I62"/>
    <mergeCell ref="L45:L46"/>
    <mergeCell ref="K45:K46"/>
    <mergeCell ref="H44:I44"/>
    <mergeCell ref="O45:O46"/>
    <mergeCell ref="N45:N46"/>
    <mergeCell ref="A72:A73"/>
    <mergeCell ref="B72:D72"/>
    <mergeCell ref="E72:G72"/>
    <mergeCell ref="H72:I72"/>
    <mergeCell ref="A44:A45"/>
    <mergeCell ref="A62:A63"/>
    <mergeCell ref="B62:D62"/>
    <mergeCell ref="E62:G62"/>
    <mergeCell ref="E2:G2"/>
    <mergeCell ref="B44:D44"/>
    <mergeCell ref="B18:B19"/>
    <mergeCell ref="C18:C19"/>
    <mergeCell ref="F40:G40"/>
    <mergeCell ref="E44:G44"/>
  </mergeCells>
  <pageMargins left="0.31496062992125984" right="0.31496062992125984" top="0.74803149606299213" bottom="0.55118110236220474" header="0.31496062992125984" footer="0.31496062992125984"/>
  <pageSetup paperSize="9" scale="79" fitToHeight="0" orientation="landscape" r:id="rId1"/>
  <headerFooter scaleWithDoc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4"/>
  <sheetViews>
    <sheetView topLeftCell="B1" workbookViewId="0">
      <selection activeCell="F34" sqref="F34"/>
    </sheetView>
  </sheetViews>
  <sheetFormatPr defaultColWidth="8.7109375" defaultRowHeight="15"/>
  <cols>
    <col min="1" max="1" width="12.42578125" bestFit="1" customWidth="1"/>
    <col min="3" max="3" width="39" bestFit="1" customWidth="1"/>
    <col min="4" max="17" width="15.28515625" customWidth="1"/>
    <col min="18" max="18" width="12.42578125" bestFit="1" customWidth="1"/>
    <col min="20" max="25" width="15.7109375" customWidth="1"/>
  </cols>
  <sheetData>
    <row r="1" spans="1:25" s="68" customFormat="1">
      <c r="A1" s="119" t="s">
        <v>471</v>
      </c>
      <c r="B1" s="119" t="s">
        <v>469</v>
      </c>
      <c r="C1" s="119" t="s">
        <v>49</v>
      </c>
      <c r="D1" s="119" t="s">
        <v>470</v>
      </c>
      <c r="E1" s="119" t="s">
        <v>430</v>
      </c>
      <c r="F1" s="119" t="s">
        <v>122</v>
      </c>
      <c r="G1" s="119" t="s">
        <v>513</v>
      </c>
      <c r="H1" s="119" t="s">
        <v>514</v>
      </c>
      <c r="I1" s="119" t="s">
        <v>124</v>
      </c>
      <c r="J1" s="119" t="s">
        <v>125</v>
      </c>
      <c r="K1" s="119" t="s">
        <v>126</v>
      </c>
      <c r="L1" s="119" t="s">
        <v>127</v>
      </c>
      <c r="M1" s="119" t="s">
        <v>128</v>
      </c>
      <c r="N1" s="119" t="s">
        <v>129</v>
      </c>
      <c r="O1" s="119" t="s">
        <v>130</v>
      </c>
      <c r="P1" s="119" t="s">
        <v>472</v>
      </c>
      <c r="Q1" s="119" t="s">
        <v>61</v>
      </c>
    </row>
    <row r="2" spans="1:25">
      <c r="A2" s="246" t="s">
        <v>443</v>
      </c>
      <c r="B2" s="246" t="s">
        <v>473</v>
      </c>
      <c r="C2" s="246" t="s">
        <v>474</v>
      </c>
      <c r="D2" s="247">
        <f>VstupySR!B14</f>
        <v>1877102</v>
      </c>
      <c r="E2" s="247">
        <f t="shared" ref="E2:E10" si="0">SUM(F2:Q2)</f>
        <v>1877102</v>
      </c>
      <c r="F2" s="247"/>
      <c r="G2" s="247"/>
      <c r="H2" s="247"/>
      <c r="I2" s="247">
        <f>D2</f>
        <v>1877102</v>
      </c>
      <c r="J2" s="247"/>
      <c r="K2" s="247"/>
      <c r="L2" s="247"/>
      <c r="M2" s="247"/>
      <c r="N2" s="247"/>
      <c r="O2" s="247"/>
      <c r="P2" s="247"/>
      <c r="Q2" s="247"/>
      <c r="T2" t="s">
        <v>511</v>
      </c>
      <c r="U2" s="419" t="s">
        <v>520</v>
      </c>
      <c r="V2" s="419"/>
      <c r="W2" s="251" t="s">
        <v>521</v>
      </c>
      <c r="X2" s="252" t="s">
        <v>493</v>
      </c>
      <c r="Y2" s="251" t="s">
        <v>521</v>
      </c>
    </row>
    <row r="3" spans="1:25">
      <c r="A3" s="246" t="s">
        <v>443</v>
      </c>
      <c r="B3" s="246" t="s">
        <v>475</v>
      </c>
      <c r="C3" s="246" t="s">
        <v>491</v>
      </c>
      <c r="D3" s="247">
        <f>VstupySR!B38</f>
        <v>9147</v>
      </c>
      <c r="E3" s="247">
        <f t="shared" si="0"/>
        <v>9147</v>
      </c>
      <c r="F3" s="247"/>
      <c r="G3" s="247"/>
      <c r="H3" s="247"/>
      <c r="I3" s="247"/>
      <c r="J3" s="247"/>
      <c r="K3" s="247"/>
      <c r="L3" s="247"/>
      <c r="M3" s="247">
        <f>D3</f>
        <v>9147</v>
      </c>
      <c r="N3" s="247"/>
      <c r="O3" s="247"/>
      <c r="P3" s="247"/>
      <c r="Q3" s="247"/>
      <c r="U3" s="253" t="s">
        <v>522</v>
      </c>
      <c r="V3" s="253" t="s">
        <v>523</v>
      </c>
      <c r="W3" s="253" t="s">
        <v>524</v>
      </c>
      <c r="X3" s="253" t="s">
        <v>525</v>
      </c>
      <c r="Y3" s="253" t="s">
        <v>526</v>
      </c>
    </row>
    <row r="4" spans="1:25">
      <c r="A4" s="246" t="s">
        <v>443</v>
      </c>
      <c r="B4" s="246" t="s">
        <v>475</v>
      </c>
      <c r="C4" s="246" t="s">
        <v>492</v>
      </c>
      <c r="D4" s="247">
        <f>ROUND(D3*0.352,0)</f>
        <v>3220</v>
      </c>
      <c r="E4" s="247">
        <f t="shared" si="0"/>
        <v>3220</v>
      </c>
      <c r="F4" s="247"/>
      <c r="G4" s="247"/>
      <c r="H4" s="247"/>
      <c r="I4" s="247"/>
      <c r="J4" s="247"/>
      <c r="K4" s="247"/>
      <c r="L4" s="247"/>
      <c r="M4" s="247">
        <f>D4</f>
        <v>3220</v>
      </c>
      <c r="N4" s="247"/>
      <c r="O4" s="247"/>
      <c r="P4" s="247"/>
      <c r="Q4" s="247"/>
      <c r="T4">
        <v>1.7</v>
      </c>
      <c r="U4" s="254">
        <v>390129</v>
      </c>
      <c r="V4" s="254">
        <v>207829</v>
      </c>
      <c r="W4" s="254">
        <v>76740</v>
      </c>
      <c r="X4" s="254">
        <v>5534</v>
      </c>
      <c r="Y4" s="254">
        <v>120197</v>
      </c>
    </row>
    <row r="5" spans="1:25">
      <c r="A5" s="246" t="s">
        <v>443</v>
      </c>
      <c r="B5" s="246" t="s">
        <v>476</v>
      </c>
      <c r="C5" s="246" t="s">
        <v>477</v>
      </c>
      <c r="D5" s="247">
        <f>VstupySR!B43</f>
        <v>58805</v>
      </c>
      <c r="E5" s="247">
        <f t="shared" si="0"/>
        <v>54565</v>
      </c>
      <c r="F5" s="247">
        <v>54565</v>
      </c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T5">
        <v>1.1000000000000001</v>
      </c>
      <c r="U5" s="254">
        <v>1387593</v>
      </c>
      <c r="V5" s="254">
        <v>522032</v>
      </c>
      <c r="W5" s="254">
        <v>264528</v>
      </c>
      <c r="X5" s="254">
        <v>29366</v>
      </c>
      <c r="Y5" s="254">
        <v>354024</v>
      </c>
    </row>
    <row r="6" spans="1:25">
      <c r="A6" s="246" t="s">
        <v>443</v>
      </c>
      <c r="B6" s="246" t="s">
        <v>476</v>
      </c>
      <c r="C6" s="246" t="s">
        <v>478</v>
      </c>
      <c r="D6" s="247">
        <f>ROUND(VstupySR!B37,0)</f>
        <v>202258</v>
      </c>
      <c r="E6" s="247">
        <f t="shared" si="0"/>
        <v>202258</v>
      </c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>
        <f>ROUND(VstupySR!B37,0)</f>
        <v>202258</v>
      </c>
      <c r="Q6" s="247"/>
      <c r="T6">
        <v>1.9</v>
      </c>
      <c r="U6" s="254">
        <v>604167</v>
      </c>
      <c r="V6" s="254">
        <v>263211</v>
      </c>
      <c r="W6" s="254">
        <v>115291</v>
      </c>
      <c r="X6" s="254">
        <v>14807</v>
      </c>
      <c r="Y6" s="254">
        <v>156033</v>
      </c>
    </row>
    <row r="7" spans="1:25">
      <c r="A7" s="246" t="s">
        <v>443</v>
      </c>
      <c r="B7" s="246" t="s">
        <v>476</v>
      </c>
      <c r="C7" s="246" t="s">
        <v>479</v>
      </c>
      <c r="D7" s="247">
        <f>ROUND(D6*0.352,0)</f>
        <v>71195</v>
      </c>
      <c r="E7" s="247">
        <f t="shared" si="0"/>
        <v>71195</v>
      </c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>
        <f>ROUND(P6*0.352,0)</f>
        <v>71195</v>
      </c>
      <c r="Q7" s="247"/>
      <c r="T7" t="s">
        <v>430</v>
      </c>
      <c r="U7" s="254">
        <v>2381889</v>
      </c>
      <c r="V7" s="254">
        <v>993072</v>
      </c>
      <c r="W7" s="254">
        <v>456559</v>
      </c>
      <c r="X7" s="254">
        <v>49707</v>
      </c>
      <c r="Y7" s="254">
        <v>630254</v>
      </c>
    </row>
    <row r="8" spans="1:25">
      <c r="A8" s="246" t="s">
        <v>443</v>
      </c>
      <c r="B8" s="246" t="s">
        <v>476</v>
      </c>
      <c r="C8" s="246" t="s">
        <v>480</v>
      </c>
      <c r="D8" s="247">
        <f>VstupySR!B40</f>
        <v>209520</v>
      </c>
      <c r="E8" s="247">
        <f t="shared" si="0"/>
        <v>209520</v>
      </c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>
        <f>VstupySR!B40</f>
        <v>209520</v>
      </c>
      <c r="Q8" s="247"/>
      <c r="T8" t="s">
        <v>527</v>
      </c>
      <c r="U8" s="254">
        <v>838424.92799999996</v>
      </c>
      <c r="V8" s="254">
        <v>349561.34399999998</v>
      </c>
      <c r="W8" s="254">
        <v>160708.76799999998</v>
      </c>
      <c r="X8" s="254">
        <v>17496.863999999998</v>
      </c>
      <c r="Y8" s="254">
        <v>0</v>
      </c>
    </row>
    <row r="9" spans="1:25">
      <c r="A9" s="246" t="s">
        <v>443</v>
      </c>
      <c r="B9" s="246" t="s">
        <v>499</v>
      </c>
      <c r="C9" s="246" t="s">
        <v>500</v>
      </c>
      <c r="D9" s="247">
        <f>VstupySR!B41</f>
        <v>101049</v>
      </c>
      <c r="E9" s="247">
        <f t="shared" si="0"/>
        <v>101049</v>
      </c>
      <c r="F9" s="247"/>
      <c r="G9" s="247"/>
      <c r="H9" s="247"/>
      <c r="I9" s="247"/>
      <c r="J9" s="247"/>
      <c r="K9" s="247"/>
      <c r="L9" s="247"/>
      <c r="M9" s="247">
        <f>D9</f>
        <v>101049</v>
      </c>
      <c r="N9" s="247"/>
      <c r="O9" s="247"/>
      <c r="P9" s="247"/>
      <c r="Q9" s="247"/>
    </row>
    <row r="10" spans="1:25">
      <c r="A10" s="246" t="s">
        <v>443</v>
      </c>
      <c r="B10" s="246" t="s">
        <v>501</v>
      </c>
      <c r="C10" s="246" t="s">
        <v>502</v>
      </c>
      <c r="D10" s="247">
        <f>VstupySR!B42</f>
        <v>2138</v>
      </c>
      <c r="E10" s="247">
        <f t="shared" si="0"/>
        <v>2138</v>
      </c>
      <c r="F10" s="247"/>
      <c r="G10" s="247"/>
      <c r="H10" s="247"/>
      <c r="I10" s="247"/>
      <c r="J10" s="247"/>
      <c r="K10" s="247"/>
      <c r="L10" s="247"/>
      <c r="M10" s="247">
        <f>D10</f>
        <v>2138</v>
      </c>
      <c r="N10" s="247"/>
      <c r="O10" s="247"/>
      <c r="P10" s="247"/>
      <c r="Q10" s="247"/>
    </row>
    <row r="11" spans="1:25">
      <c r="A11" s="246"/>
      <c r="B11" s="246"/>
      <c r="C11" s="246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25">
      <c r="A12" s="246" t="s">
        <v>443</v>
      </c>
      <c r="B12" s="246" t="s">
        <v>509</v>
      </c>
      <c r="C12" s="246" t="s">
        <v>509</v>
      </c>
      <c r="D12" s="247">
        <f>VstupySR!B8-D6-D3-1</f>
        <v>15218232</v>
      </c>
      <c r="E12" s="247">
        <f>SUM(F12:Q12)</f>
        <v>19544437.000000004</v>
      </c>
      <c r="F12" s="247">
        <f>Sumare!E20-F18</f>
        <v>2459058</v>
      </c>
      <c r="G12" s="247">
        <f>Sumare!E21</f>
        <v>463829.3</v>
      </c>
      <c r="H12" s="247"/>
      <c r="I12" s="247">
        <f>Sumare!E23</f>
        <v>7214963</v>
      </c>
      <c r="J12" s="247">
        <f>Sumare!E24</f>
        <v>3565190</v>
      </c>
      <c r="K12" s="247">
        <f>Sumare!E25</f>
        <v>1598225.2</v>
      </c>
      <c r="L12" s="247">
        <f>Sumare!E26</f>
        <v>1006377.1</v>
      </c>
      <c r="M12" s="247">
        <f>Sumare!E27</f>
        <v>2707874</v>
      </c>
      <c r="N12" s="247">
        <f>Sumare!E28</f>
        <v>324927.09999999998</v>
      </c>
      <c r="O12" s="247">
        <f>Sumare!E29</f>
        <v>203993.3</v>
      </c>
      <c r="P12" s="247"/>
      <c r="Q12" s="247"/>
    </row>
    <row r="13" spans="1:25">
      <c r="A13" s="246" t="s">
        <v>443</v>
      </c>
      <c r="B13" s="246" t="s">
        <v>511</v>
      </c>
      <c r="C13" s="246" t="s">
        <v>511</v>
      </c>
      <c r="D13" s="247">
        <f>VstupySR!B9</f>
        <v>2602134</v>
      </c>
      <c r="E13" s="247">
        <f>SUM(F13:Q13)</f>
        <v>2658869.3507100591</v>
      </c>
      <c r="F13" s="247">
        <v>12383.83</v>
      </c>
      <c r="G13" s="247">
        <f>Sumare!K5+Sumare!K15</f>
        <v>305807.52071005898</v>
      </c>
      <c r="H13" s="247"/>
      <c r="I13" s="247">
        <f>Sumare!K7</f>
        <v>1140433</v>
      </c>
      <c r="J13" s="247">
        <f>Sumare!K8</f>
        <v>563876</v>
      </c>
      <c r="K13" s="247">
        <f>Sumare!K9</f>
        <v>159799</v>
      </c>
      <c r="L13" s="247">
        <f>Sumare!K10</f>
        <v>85793</v>
      </c>
      <c r="M13" s="247">
        <f>Sumare!K11</f>
        <v>310288</v>
      </c>
      <c r="N13" s="247">
        <f>Sumare!K12</f>
        <v>33216</v>
      </c>
      <c r="O13" s="247">
        <f>Sumare!K13</f>
        <v>47273</v>
      </c>
      <c r="P13" s="247">
        <f>Sumare!K6</f>
        <v>0</v>
      </c>
      <c r="Q13" s="247"/>
      <c r="R13" s="255"/>
    </row>
    <row r="14" spans="1:25">
      <c r="A14" s="246" t="s">
        <v>443</v>
      </c>
      <c r="B14" s="246" t="s">
        <v>510</v>
      </c>
      <c r="C14" s="246" t="s">
        <v>510</v>
      </c>
      <c r="D14" s="247">
        <f>ROUND((D12+D13)*0.352,0)</f>
        <v>6272769</v>
      </c>
      <c r="E14" s="247">
        <f>SUM(F14:Q14)</f>
        <v>7815564</v>
      </c>
      <c r="F14" s="247">
        <f>ROUND((F12+F13)*0.352,0)</f>
        <v>869948</v>
      </c>
      <c r="G14" s="247">
        <f>ROUND((G12+G13)*0.352,0)</f>
        <v>270912</v>
      </c>
      <c r="H14" s="247"/>
      <c r="I14" s="247">
        <f t="shared" ref="I14:P14" si="1">ROUND((I12+I13)*0.352,0)</f>
        <v>2941099</v>
      </c>
      <c r="J14" s="247">
        <f t="shared" si="1"/>
        <v>1453431</v>
      </c>
      <c r="K14" s="247">
        <f t="shared" si="1"/>
        <v>618825</v>
      </c>
      <c r="L14" s="247">
        <f t="shared" si="1"/>
        <v>384444</v>
      </c>
      <c r="M14" s="247">
        <f t="shared" si="1"/>
        <v>1062393</v>
      </c>
      <c r="N14" s="247">
        <f t="shared" si="1"/>
        <v>126066</v>
      </c>
      <c r="O14" s="247">
        <f t="shared" si="1"/>
        <v>88446</v>
      </c>
      <c r="P14" s="247">
        <f t="shared" si="1"/>
        <v>0</v>
      </c>
      <c r="Q14" s="247"/>
    </row>
    <row r="15" spans="1:25">
      <c r="A15" s="246" t="s">
        <v>443</v>
      </c>
      <c r="B15" s="246" t="s">
        <v>152</v>
      </c>
      <c r="C15" s="246" t="s">
        <v>152</v>
      </c>
      <c r="D15" s="247">
        <f>VstupySR!B11-D5-D8-D9-D10</f>
        <v>4711304</v>
      </c>
      <c r="E15" s="247">
        <f>SUM(F15:Q15)</f>
        <v>4615725</v>
      </c>
      <c r="F15" s="247">
        <f>'07711-TaS'!E11</f>
        <v>90195</v>
      </c>
      <c r="G15" s="247">
        <f>'07711-TaS'!E14-G20</f>
        <v>1500518</v>
      </c>
      <c r="H15" s="247">
        <f>'07711-TaS'!E7+'07711-TaS'!E8</f>
        <v>2513904.5500000003</v>
      </c>
      <c r="I15" s="247">
        <f>'07711-TaS'!H64</f>
        <v>204302.57596530917</v>
      </c>
      <c r="J15" s="247">
        <f>'07711-TaS'!H65</f>
        <v>104148.24381344195</v>
      </c>
      <c r="K15" s="247">
        <f>'07711-TaS'!H66</f>
        <v>56253.577776142149</v>
      </c>
      <c r="L15" s="247">
        <f>'07711-TaS'!H67</f>
        <v>48872.88411402038</v>
      </c>
      <c r="M15" s="247">
        <f>'07711-TaS'!H68</f>
        <v>80512.377969057343</v>
      </c>
      <c r="N15" s="247">
        <f>'07711-TaS'!H69</f>
        <v>17017.790362028787</v>
      </c>
      <c r="O15" s="247"/>
      <c r="P15" s="247"/>
      <c r="Q15" s="247"/>
    </row>
    <row r="16" spans="1:25">
      <c r="A16" s="249"/>
      <c r="B16" s="249"/>
      <c r="C16" s="249" t="s">
        <v>518</v>
      </c>
      <c r="D16" s="250">
        <f>SUM(D2:D15)</f>
        <v>31338873</v>
      </c>
      <c r="E16" s="247">
        <f>SUM(E2:E15)</f>
        <v>37164789.350710064</v>
      </c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7">
      <c r="A17" s="246"/>
      <c r="B17" s="246"/>
      <c r="C17" s="246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7">
      <c r="A18" s="256" t="s">
        <v>443</v>
      </c>
      <c r="B18" s="256" t="s">
        <v>512</v>
      </c>
      <c r="C18" s="246" t="s">
        <v>509</v>
      </c>
      <c r="D18" s="247">
        <f>'07711-mzdy'!M65</f>
        <v>0</v>
      </c>
      <c r="E18" s="247">
        <f>SUM(F18:Q18)</f>
        <v>0</v>
      </c>
      <c r="F18" s="247">
        <f>D18</f>
        <v>0</v>
      </c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>
      <c r="A19" s="256" t="s">
        <v>443</v>
      </c>
      <c r="B19" s="256" t="s">
        <v>512</v>
      </c>
      <c r="C19" s="246" t="s">
        <v>510</v>
      </c>
      <c r="D19" s="247">
        <f>ROUND(D18*0.352,1)</f>
        <v>0</v>
      </c>
      <c r="E19" s="247">
        <f>SUM(F19:Q19)</f>
        <v>0</v>
      </c>
      <c r="F19" s="247">
        <f>D19</f>
        <v>0</v>
      </c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7">
      <c r="A20" s="256" t="s">
        <v>443</v>
      </c>
      <c r="B20" s="256" t="s">
        <v>512</v>
      </c>
      <c r="C20" s="246" t="s">
        <v>152</v>
      </c>
      <c r="D20" s="247">
        <f>VstupyUPJS!B12</f>
        <v>0</v>
      </c>
      <c r="E20" s="247">
        <f>SUM(F20:Q20)</f>
        <v>0</v>
      </c>
      <c r="F20" s="247"/>
      <c r="G20" s="247">
        <f>D20</f>
        <v>0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7">
      <c r="A21" s="246"/>
      <c r="B21" s="246"/>
      <c r="C21" s="246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>
      <c r="A22" s="246" t="s">
        <v>507</v>
      </c>
      <c r="B22" s="246" t="s">
        <v>508</v>
      </c>
      <c r="C22" s="246" t="s">
        <v>147</v>
      </c>
      <c r="D22" s="247">
        <f>Sumare!H37</f>
        <v>0</v>
      </c>
      <c r="E22" s="247">
        <f>SUM(F22:Q22)</f>
        <v>0</v>
      </c>
      <c r="F22" s="247"/>
      <c r="G22" s="247"/>
      <c r="H22" s="247"/>
      <c r="I22" s="247"/>
      <c r="J22" s="247">
        <f>D22</f>
        <v>0</v>
      </c>
      <c r="K22" s="247"/>
      <c r="L22" s="247"/>
      <c r="M22" s="247"/>
      <c r="N22" s="247"/>
      <c r="O22" s="247"/>
      <c r="P22" s="247"/>
      <c r="Q22" s="247"/>
    </row>
    <row r="23" spans="1:17">
      <c r="A23" s="246" t="s">
        <v>507</v>
      </c>
      <c r="B23" s="246" t="s">
        <v>508</v>
      </c>
      <c r="C23" s="246" t="s">
        <v>148</v>
      </c>
      <c r="D23" s="247">
        <f>Sumare!H38</f>
        <v>0</v>
      </c>
      <c r="E23" s="247">
        <f>SUM(F23:Q23)</f>
        <v>0</v>
      </c>
      <c r="F23" s="247"/>
      <c r="G23" s="247"/>
      <c r="H23" s="247"/>
      <c r="I23" s="247"/>
      <c r="J23" s="247"/>
      <c r="K23" s="247"/>
      <c r="L23" s="247"/>
      <c r="M23" s="247">
        <f>D23</f>
        <v>0</v>
      </c>
      <c r="N23" s="247"/>
      <c r="O23" s="247"/>
      <c r="P23" s="247"/>
      <c r="Q23" s="247"/>
    </row>
    <row r="24" spans="1:17">
      <c r="A24" s="246" t="s">
        <v>507</v>
      </c>
      <c r="B24" s="246" t="s">
        <v>508</v>
      </c>
      <c r="C24" s="246" t="s">
        <v>149</v>
      </c>
      <c r="D24" s="247">
        <f>Sumare!H39</f>
        <v>0</v>
      </c>
      <c r="E24" s="247">
        <f>SUM(F24:Q24)</f>
        <v>0</v>
      </c>
      <c r="F24" s="247"/>
      <c r="G24" s="247"/>
      <c r="H24" s="247"/>
      <c r="I24" s="247"/>
      <c r="J24" s="247">
        <f>D24</f>
        <v>0</v>
      </c>
      <c r="K24" s="247"/>
      <c r="L24" s="247"/>
      <c r="M24" s="247"/>
      <c r="N24" s="247"/>
      <c r="O24" s="247"/>
      <c r="P24" s="247"/>
      <c r="Q24" s="247"/>
    </row>
    <row r="25" spans="1:17">
      <c r="A25" s="246"/>
      <c r="B25" s="246"/>
      <c r="C25" s="246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>
      <c r="A26" s="246" t="s">
        <v>507</v>
      </c>
      <c r="B26" s="246" t="s">
        <v>516</v>
      </c>
      <c r="C26" s="246" t="s">
        <v>517</v>
      </c>
      <c r="D26" s="247">
        <f>SUM(VstupyUPJS!B24:B26)-D33</f>
        <v>3598360.5</v>
      </c>
      <c r="E26" s="247">
        <f>SUM(F26:Q26)</f>
        <v>3518310.5</v>
      </c>
      <c r="F26" s="247"/>
      <c r="G26" s="247"/>
      <c r="H26" s="247"/>
      <c r="I26" s="247">
        <f>Sumare!L64-I39-I33</f>
        <v>844367.96</v>
      </c>
      <c r="J26" s="247">
        <f>Sumare!L65-J39-J33</f>
        <v>1643185.04</v>
      </c>
      <c r="K26" s="247">
        <f>Sumare!L66-K39-K33</f>
        <v>415168</v>
      </c>
      <c r="L26" s="247">
        <f>Sumare!L67-L39-L33</f>
        <v>107806.5</v>
      </c>
      <c r="M26" s="247">
        <f>Sumare!L68-M39-M33</f>
        <v>507783</v>
      </c>
      <c r="N26" s="247"/>
      <c r="O26" s="247"/>
      <c r="P26" s="247"/>
      <c r="Q26" s="247"/>
    </row>
    <row r="27" spans="1:17">
      <c r="A27" s="246" t="s">
        <v>507</v>
      </c>
      <c r="B27" s="246" t="s">
        <v>509</v>
      </c>
      <c r="C27" s="246" t="s">
        <v>509</v>
      </c>
      <c r="D27" s="247">
        <f>ROUND((VstupySR!B16+VstupySR!B17-SUM(VstupyUPJS!B24:B25)-D30)/1.352,1)</f>
        <v>8087446.4000000004</v>
      </c>
      <c r="E27" s="247">
        <f>SUM(F27:Q27)</f>
        <v>8937661</v>
      </c>
      <c r="F27" s="247">
        <f>Sumare!F20-F40-F35</f>
        <v>972219</v>
      </c>
      <c r="G27" s="247">
        <f>Sumare!F21-G35</f>
        <v>158516.70000000001</v>
      </c>
      <c r="H27" s="247"/>
      <c r="I27" s="247">
        <f>Sumare!F23-I35</f>
        <v>2653788</v>
      </c>
      <c r="J27" s="247">
        <f>Sumare!F24</f>
        <v>3451663</v>
      </c>
      <c r="K27" s="247">
        <f>Sumare!F25</f>
        <v>350441.8</v>
      </c>
      <c r="L27" s="247">
        <f>Sumare!F26</f>
        <v>128385.9</v>
      </c>
      <c r="M27" s="247">
        <f>Sumare!F27</f>
        <v>932784</v>
      </c>
      <c r="N27" s="247">
        <f>Sumare!F28</f>
        <v>41874.9</v>
      </c>
      <c r="O27" s="247">
        <f>Sumare!F29</f>
        <v>247987.7</v>
      </c>
      <c r="P27" s="247"/>
      <c r="Q27" s="247"/>
    </row>
    <row r="28" spans="1:17">
      <c r="A28" s="246" t="s">
        <v>507</v>
      </c>
      <c r="B28" s="246" t="s">
        <v>511</v>
      </c>
      <c r="C28" s="246" t="s">
        <v>511</v>
      </c>
      <c r="D28" s="247">
        <f>ROUND(VstupySR!B20/1.352,0)</f>
        <v>345874</v>
      </c>
      <c r="E28" s="247">
        <f>SUM(F28:Q28)</f>
        <v>289138.17</v>
      </c>
      <c r="F28" s="247">
        <f>Sumare!K4-F13</f>
        <v>289138.17</v>
      </c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>
      <c r="A29" s="246" t="s">
        <v>507</v>
      </c>
      <c r="B29" s="246" t="s">
        <v>510</v>
      </c>
      <c r="C29" s="246" t="s">
        <v>510</v>
      </c>
      <c r="D29" s="247">
        <f>ROUND((D27+D28)*0.352,1)</f>
        <v>2968528.8</v>
      </c>
      <c r="E29" s="247">
        <f>SUM(F29:Q29)</f>
        <v>3247834</v>
      </c>
      <c r="F29" s="247">
        <f>ROUND((F27+F28)*0.352,0)</f>
        <v>443998</v>
      </c>
      <c r="G29" s="247">
        <f>ROUND((G27+G28)*0.352,0)</f>
        <v>55798</v>
      </c>
      <c r="H29" s="247"/>
      <c r="I29" s="247">
        <f t="shared" ref="I29:O29" si="2">ROUND((I27+I28)*0.352,0)</f>
        <v>934133</v>
      </c>
      <c r="J29" s="247">
        <f t="shared" si="2"/>
        <v>1214985</v>
      </c>
      <c r="K29" s="247">
        <f t="shared" si="2"/>
        <v>123356</v>
      </c>
      <c r="L29" s="247">
        <f t="shared" si="2"/>
        <v>45192</v>
      </c>
      <c r="M29" s="247">
        <f t="shared" si="2"/>
        <v>328340</v>
      </c>
      <c r="N29" s="247">
        <f t="shared" si="2"/>
        <v>14740</v>
      </c>
      <c r="O29" s="247">
        <f t="shared" si="2"/>
        <v>87292</v>
      </c>
      <c r="P29" s="247"/>
      <c r="Q29" s="247"/>
    </row>
    <row r="30" spans="1:17">
      <c r="A30" s="246" t="s">
        <v>507</v>
      </c>
      <c r="B30" s="246" t="s">
        <v>152</v>
      </c>
      <c r="C30" s="246" t="s">
        <v>152</v>
      </c>
      <c r="D30" s="247">
        <f>VstupyUPJS!B16</f>
        <v>500000</v>
      </c>
      <c r="E30" s="247">
        <f>SUM(F30:Q30)</f>
        <v>492282</v>
      </c>
      <c r="F30" s="247"/>
      <c r="G30" s="247">
        <f>Sumare!C50</f>
        <v>250000</v>
      </c>
      <c r="H30" s="247">
        <f>Sumare!C49</f>
        <v>30000</v>
      </c>
      <c r="I30" s="247">
        <f>Sumare!C51</f>
        <v>75914</v>
      </c>
      <c r="J30" s="247">
        <f>Sumare!C52</f>
        <v>91078</v>
      </c>
      <c r="K30" s="247">
        <f>Sumare!C53</f>
        <v>9159</v>
      </c>
      <c r="L30" s="247">
        <f>Sumare!C54</f>
        <v>2745</v>
      </c>
      <c r="M30" s="247">
        <f>Sumare!C55</f>
        <v>26639</v>
      </c>
      <c r="N30" s="247">
        <f>Sumare!C56</f>
        <v>451</v>
      </c>
      <c r="O30" s="247">
        <f>Sumare!C57</f>
        <v>6296</v>
      </c>
      <c r="P30" s="247"/>
      <c r="Q30" s="247"/>
    </row>
    <row r="31" spans="1:17">
      <c r="A31" s="249"/>
      <c r="B31" s="249"/>
      <c r="C31" s="249" t="s">
        <v>530</v>
      </c>
      <c r="D31" s="250">
        <f>SUM(D22:D30)</f>
        <v>15500209.699999999</v>
      </c>
      <c r="E31" s="247">
        <f>SUM(E22:E30)</f>
        <v>16485225.67</v>
      </c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>
      <c r="A32" s="246"/>
      <c r="B32" s="246"/>
      <c r="C32" s="246"/>
      <c r="D32" s="247"/>
      <c r="E32" s="247">
        <f t="shared" ref="E32:E54" si="3">SUM(F32:Q32)</f>
        <v>0</v>
      </c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>
      <c r="A33" s="246" t="s">
        <v>528</v>
      </c>
      <c r="B33" s="246" t="s">
        <v>516</v>
      </c>
      <c r="C33" s="246" t="s">
        <v>515</v>
      </c>
      <c r="D33" s="247">
        <f>ROUND((VstupyUPJS!B24+VstupyUPJS!B25+VstupyUPJS!B26)*VstupySR!B17/(VstupySR!B16+VstupySR!B17),0)</f>
        <v>130839</v>
      </c>
      <c r="E33" s="247">
        <f>SUM(F33:Q33)</f>
        <v>127928</v>
      </c>
      <c r="F33" s="247"/>
      <c r="G33" s="247"/>
      <c r="H33" s="247"/>
      <c r="I33" s="247">
        <f>ROUND((Sumare!L64-I39)*VstupySR!B17/(VstupySR!B16+VstupySR!B17),0)</f>
        <v>30702</v>
      </c>
      <c r="J33" s="247">
        <f>ROUND((Sumare!L65-J39)*VstupySR!B17/(VstupySR!B16+VstupySR!B17),0)</f>
        <v>59747</v>
      </c>
      <c r="K33" s="247">
        <f>ROUND((Sumare!L66-K39)*VstupySR!B17/(VstupySR!B16+VstupySR!B17),0)</f>
        <v>15096</v>
      </c>
      <c r="L33" s="247">
        <f>ROUND((Sumare!L67-L39)*VstupySR!B17/(VstupySR!B16+VstupySR!B17),0)</f>
        <v>3920</v>
      </c>
      <c r="M33" s="247">
        <f>ROUND((Sumare!L68-M39)*VstupySR!B17/(VstupySR!B16+VstupySR!B17),0)</f>
        <v>18463</v>
      </c>
      <c r="N33" s="247"/>
      <c r="O33" s="247"/>
      <c r="P33" s="247"/>
      <c r="Q33" s="247"/>
    </row>
    <row r="34" spans="1:17">
      <c r="A34" s="246" t="s">
        <v>528</v>
      </c>
      <c r="B34" s="246" t="s">
        <v>152</v>
      </c>
      <c r="C34" s="246" t="s">
        <v>152</v>
      </c>
      <c r="D34" s="247">
        <f>ROUND((VstupyUPJS!B16)*VstupySR!B17/(VstupySR!B16+VstupySR!B17),0)</f>
        <v>17543</v>
      </c>
      <c r="E34" s="247">
        <f>SUM(F34:Q34)</f>
        <v>17271</v>
      </c>
      <c r="F34" s="247"/>
      <c r="G34" s="247">
        <f>ROUND((VstupyUPJS!B18)*VstupySR!B17/(VstupySR!B16+VstupySR!B17),0)</f>
        <v>8771</v>
      </c>
      <c r="H34" s="247">
        <f>ROUND((VstupyUPJS!B20)*VstupySR!B17/(VstupySR!B16+VstupySR!B17),0)</f>
        <v>1053</v>
      </c>
      <c r="I34" s="247">
        <f>ROUND((Sumare!C51)*VstupySR!B17/(VstupySR!B16+VstupySR!B17),0)</f>
        <v>2663</v>
      </c>
      <c r="J34" s="247">
        <f>ROUND((Sumare!C52)*VstupySR!B17/(VstupySR!B16+VstupySR!B17),0)</f>
        <v>3195</v>
      </c>
      <c r="K34" s="247">
        <f>ROUND((Sumare!C53)*VstupySR!B17/(VstupySR!B16+VstupySR!B17),0)</f>
        <v>321</v>
      </c>
      <c r="L34" s="247">
        <f>ROUND((Sumare!C54)*VstupySR!B17/(VstupySR!B16+VstupySR!B17),0)</f>
        <v>96</v>
      </c>
      <c r="M34" s="247">
        <f>ROUND((Sumare!C55)*VstupySR!B17/(VstupySR!B16+VstupySR!B17),0)</f>
        <v>935</v>
      </c>
      <c r="N34" s="247">
        <f>ROUND((Sumare!C56)*VstupySR!B17/(VstupySR!B16+VstupySR!B17),0)</f>
        <v>16</v>
      </c>
      <c r="O34" s="247">
        <f>ROUND((Sumare!C57)*VstupySR!B17/(VstupySR!B16+VstupySR!B17),0)</f>
        <v>221</v>
      </c>
      <c r="P34" s="247"/>
      <c r="Q34" s="247"/>
    </row>
    <row r="35" spans="1:17">
      <c r="A35" s="246" t="s">
        <v>528</v>
      </c>
      <c r="B35" s="246" t="s">
        <v>509</v>
      </c>
      <c r="C35" s="246" t="s">
        <v>509</v>
      </c>
      <c r="D35" s="247">
        <f>ROUND(('07712-mzdy'!E9-VstupyUPJS!B29)*VstupySR!B17/(VstupySR!B16+VstupySR!B17),0)</f>
        <v>321227</v>
      </c>
      <c r="E35" s="247">
        <f>SUM(F35:Q35)</f>
        <v>321227</v>
      </c>
      <c r="F35" s="247">
        <f>D35-SUM(I35:P35)</f>
        <v>218020</v>
      </c>
      <c r="G35" s="247"/>
      <c r="H35" s="247"/>
      <c r="I35" s="247"/>
      <c r="J35" s="247">
        <f>ROUND('07712-mzdy'!C39,0)</f>
        <v>102412</v>
      </c>
      <c r="K35" s="247"/>
      <c r="L35" s="247"/>
      <c r="M35" s="247">
        <f>ROUND('07712-mzdy'!C42,0)</f>
        <v>589</v>
      </c>
      <c r="N35" s="247"/>
      <c r="O35" s="247">
        <f>ROUND('07712-mzdy'!C44,0)</f>
        <v>206</v>
      </c>
      <c r="P35" s="247"/>
      <c r="Q35" s="247"/>
    </row>
    <row r="36" spans="1:17">
      <c r="A36" s="246" t="s">
        <v>528</v>
      </c>
      <c r="B36" s="246" t="s">
        <v>510</v>
      </c>
      <c r="C36" s="246" t="s">
        <v>510</v>
      </c>
      <c r="D36" s="247">
        <f>ROUND((D35)*0.352,0)</f>
        <v>113072</v>
      </c>
      <c r="E36" s="247">
        <f>SUM(F36:Q36)</f>
        <v>113072</v>
      </c>
      <c r="F36" s="247">
        <f>ROUND(0.352*F35,0)</f>
        <v>76743</v>
      </c>
      <c r="G36" s="247"/>
      <c r="H36" s="247"/>
      <c r="I36" s="247"/>
      <c r="J36" s="247">
        <f>ROUND(0.352*J35,0)</f>
        <v>36049</v>
      </c>
      <c r="K36" s="247"/>
      <c r="L36" s="247"/>
      <c r="M36" s="247">
        <f>ROUND(0.352*M35,0)</f>
        <v>207</v>
      </c>
      <c r="N36" s="247"/>
      <c r="O36" s="247">
        <f>ROUND(0.352*O35,0)</f>
        <v>73</v>
      </c>
      <c r="P36" s="247"/>
      <c r="Q36" s="247"/>
    </row>
    <row r="37" spans="1:17">
      <c r="A37" s="249"/>
      <c r="B37" s="249"/>
      <c r="C37" s="249" t="s">
        <v>529</v>
      </c>
      <c r="D37" s="250">
        <f>SUM(D33:D36)</f>
        <v>582681</v>
      </c>
      <c r="E37" s="247">
        <f>SUM(E33:E36)</f>
        <v>579498</v>
      </c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>
      <c r="A38" s="246"/>
      <c r="B38" s="246"/>
      <c r="C38" s="246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>
      <c r="A39" s="256" t="s">
        <v>507</v>
      </c>
      <c r="B39" s="256" t="s">
        <v>512</v>
      </c>
      <c r="C39" s="246" t="s">
        <v>515</v>
      </c>
      <c r="D39" s="247">
        <f>VstupyUPJS!B23</f>
        <v>325000</v>
      </c>
      <c r="E39" s="247">
        <f t="shared" si="3"/>
        <v>375000</v>
      </c>
      <c r="F39" s="247"/>
      <c r="G39" s="247"/>
      <c r="H39" s="247"/>
      <c r="I39" s="247">
        <v>55458.04</v>
      </c>
      <c r="J39" s="248">
        <f>188370.3+2898.16</f>
        <v>191268.46</v>
      </c>
      <c r="K39" s="247">
        <v>23928.5</v>
      </c>
      <c r="L39" s="247">
        <v>985.5</v>
      </c>
      <c r="M39" s="247">
        <v>103359.5</v>
      </c>
      <c r="N39" s="247"/>
      <c r="O39" s="247"/>
      <c r="P39" s="247"/>
      <c r="Q39" s="247"/>
    </row>
    <row r="40" spans="1:17">
      <c r="A40" s="256" t="s">
        <v>507</v>
      </c>
      <c r="B40" s="256" t="s">
        <v>512</v>
      </c>
      <c r="C40" s="246" t="s">
        <v>509</v>
      </c>
      <c r="D40" s="247">
        <f>VstupyUPJS!B29</f>
        <v>0</v>
      </c>
      <c r="E40" s="247">
        <f t="shared" si="3"/>
        <v>0</v>
      </c>
      <c r="F40" s="247">
        <f>D40</f>
        <v>0</v>
      </c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>
      <c r="A41" s="256" t="s">
        <v>507</v>
      </c>
      <c r="B41" s="256" t="s">
        <v>512</v>
      </c>
      <c r="C41" s="246" t="s">
        <v>510</v>
      </c>
      <c r="D41" s="247">
        <f>VstupyUPJS!B30</f>
        <v>0</v>
      </c>
      <c r="E41" s="247">
        <f t="shared" si="3"/>
        <v>0</v>
      </c>
      <c r="F41" s="247">
        <f>ROUND((F40)*0.352,0)</f>
        <v>0</v>
      </c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>
      <c r="A42" s="256" t="s">
        <v>507</v>
      </c>
      <c r="B42" s="256" t="s">
        <v>512</v>
      </c>
      <c r="C42" s="246" t="s">
        <v>152</v>
      </c>
      <c r="D42" s="247">
        <v>0</v>
      </c>
      <c r="E42" s="247">
        <f t="shared" si="3"/>
        <v>0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>
      <c r="A43" s="246"/>
      <c r="B43" s="246"/>
      <c r="C43" s="246"/>
      <c r="D43" s="247"/>
      <c r="E43" s="247">
        <f t="shared" si="3"/>
        <v>0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>
      <c r="A44" s="246"/>
      <c r="B44" s="246"/>
      <c r="C44" s="246"/>
      <c r="D44" s="247"/>
      <c r="E44" s="247">
        <f t="shared" si="3"/>
        <v>0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>
      <c r="A45" s="246" t="s">
        <v>481</v>
      </c>
      <c r="B45" s="246" t="s">
        <v>482</v>
      </c>
      <c r="C45" s="246" t="s">
        <v>483</v>
      </c>
      <c r="D45" s="247">
        <f>VstupySR!B25</f>
        <v>253205</v>
      </c>
      <c r="E45" s="247">
        <f t="shared" si="3"/>
        <v>264565</v>
      </c>
      <c r="F45" s="247"/>
      <c r="G45" s="247"/>
      <c r="H45" s="247"/>
      <c r="I45" s="247">
        <v>45000</v>
      </c>
      <c r="J45" s="247">
        <v>58000</v>
      </c>
      <c r="K45" s="247">
        <v>25000</v>
      </c>
      <c r="L45" s="247">
        <v>40565</v>
      </c>
      <c r="M45" s="247">
        <v>95000</v>
      </c>
      <c r="N45" s="247">
        <v>1000</v>
      </c>
      <c r="O45" s="247"/>
      <c r="P45" s="247"/>
      <c r="Q45" s="247"/>
    </row>
    <row r="46" spans="1:17">
      <c r="A46" s="246" t="s">
        <v>484</v>
      </c>
      <c r="B46" s="246" t="s">
        <v>485</v>
      </c>
      <c r="C46" s="246" t="s">
        <v>488</v>
      </c>
      <c r="D46" s="247">
        <f>VstupySR!B27</f>
        <v>331400</v>
      </c>
      <c r="E46" s="247">
        <f t="shared" si="3"/>
        <v>331398</v>
      </c>
      <c r="F46" s="247">
        <f>'07715-Stip'!E4</f>
        <v>49710</v>
      </c>
      <c r="G46" s="247"/>
      <c r="H46" s="247"/>
      <c r="I46" s="247">
        <f>'07715-Stip'!C13</f>
        <v>133705</v>
      </c>
      <c r="J46" s="248">
        <f>'07715-Stip'!C14-1</f>
        <v>33574</v>
      </c>
      <c r="K46" s="247">
        <f>'07715-Stip'!C15</f>
        <v>30005</v>
      </c>
      <c r="L46" s="247">
        <f>'07715-Stip'!C16</f>
        <v>24990</v>
      </c>
      <c r="M46" s="248">
        <f>'07715-Stip'!C17-1</f>
        <v>56439</v>
      </c>
      <c r="N46" s="247">
        <f>'07715-Stip'!C18</f>
        <v>2975</v>
      </c>
      <c r="O46" s="247"/>
      <c r="P46" s="247"/>
      <c r="Q46" s="247"/>
    </row>
    <row r="47" spans="1:17">
      <c r="A47" s="246" t="s">
        <v>484</v>
      </c>
      <c r="B47" s="246" t="s">
        <v>486</v>
      </c>
      <c r="C47" s="246" t="s">
        <v>489</v>
      </c>
      <c r="D47" s="247">
        <f>VstupySR!B26</f>
        <v>145350</v>
      </c>
      <c r="E47" s="247">
        <f t="shared" si="3"/>
        <v>145350</v>
      </c>
      <c r="F47" s="247"/>
      <c r="G47" s="247"/>
      <c r="H47" s="247"/>
      <c r="I47" s="247">
        <f>'07715-Stip'!E13</f>
        <v>13860</v>
      </c>
      <c r="J47" s="247">
        <f>'07715-Stip'!E14</f>
        <v>118170</v>
      </c>
      <c r="K47" s="247"/>
      <c r="L47" s="247"/>
      <c r="M47" s="247">
        <f>'07715-Stip'!E17</f>
        <v>13320</v>
      </c>
      <c r="N47" s="247"/>
      <c r="O47" s="247"/>
      <c r="P47" s="247"/>
      <c r="Q47" s="247"/>
    </row>
    <row r="48" spans="1:17">
      <c r="A48" s="246" t="s">
        <v>493</v>
      </c>
      <c r="B48" s="246" t="s">
        <v>487</v>
      </c>
      <c r="C48" s="246" t="s">
        <v>490</v>
      </c>
      <c r="D48" s="247">
        <f>VstupySR!B31</f>
        <v>293486</v>
      </c>
      <c r="E48" s="247">
        <f t="shared" si="3"/>
        <v>293486</v>
      </c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>
        <f>D48</f>
        <v>293486</v>
      </c>
    </row>
    <row r="49" spans="1:17">
      <c r="A49" s="246" t="s">
        <v>493</v>
      </c>
      <c r="B49" s="246" t="s">
        <v>494</v>
      </c>
      <c r="C49" s="246" t="s">
        <v>519</v>
      </c>
      <c r="D49" s="247">
        <f>VstupySR!B28</f>
        <v>594736</v>
      </c>
      <c r="E49" s="247">
        <f t="shared" si="3"/>
        <v>594736</v>
      </c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>
        <f t="shared" ref="Q49:Q51" si="4">D49</f>
        <v>594736</v>
      </c>
    </row>
    <row r="50" spans="1:17">
      <c r="A50" s="246" t="s">
        <v>493</v>
      </c>
      <c r="B50" s="246" t="s">
        <v>494</v>
      </c>
      <c r="C50" s="246" t="s">
        <v>496</v>
      </c>
      <c r="D50" s="247">
        <f>ROUND(D49*0.352,0)</f>
        <v>209347</v>
      </c>
      <c r="E50" s="247">
        <f t="shared" si="3"/>
        <v>209347</v>
      </c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>
        <f t="shared" si="4"/>
        <v>209347</v>
      </c>
    </row>
    <row r="51" spans="1:17">
      <c r="A51" s="246" t="s">
        <v>493</v>
      </c>
      <c r="B51" s="246" t="s">
        <v>494</v>
      </c>
      <c r="C51" s="246" t="s">
        <v>497</v>
      </c>
      <c r="D51" s="247">
        <f>VstupySR!B30</f>
        <v>458688</v>
      </c>
      <c r="E51" s="247">
        <f t="shared" si="3"/>
        <v>458688</v>
      </c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>
        <f t="shared" si="4"/>
        <v>458688</v>
      </c>
    </row>
    <row r="52" spans="1:17">
      <c r="A52" s="246" t="s">
        <v>493</v>
      </c>
      <c r="B52" s="246" t="s">
        <v>495</v>
      </c>
      <c r="C52" s="246" t="s">
        <v>498</v>
      </c>
      <c r="D52" s="247">
        <f>VstupySR!B32</f>
        <v>35505</v>
      </c>
      <c r="E52" s="247">
        <f t="shared" si="3"/>
        <v>35505</v>
      </c>
      <c r="F52" s="247">
        <f>D52</f>
        <v>35505</v>
      </c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>
      <c r="A53" s="246" t="s">
        <v>493</v>
      </c>
      <c r="B53" s="246" t="s">
        <v>503</v>
      </c>
      <c r="C53" s="246" t="s">
        <v>504</v>
      </c>
      <c r="D53" s="247">
        <v>2010</v>
      </c>
      <c r="E53" s="247">
        <f t="shared" si="3"/>
        <v>2010</v>
      </c>
      <c r="F53" s="247">
        <f>D53</f>
        <v>2010</v>
      </c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1:17">
      <c r="A54" s="246" t="s">
        <v>493</v>
      </c>
      <c r="B54" s="246" t="s">
        <v>505</v>
      </c>
      <c r="C54" s="246" t="s">
        <v>506</v>
      </c>
      <c r="D54" s="247">
        <f>VstupySR!B33-D53</f>
        <v>17807</v>
      </c>
      <c r="E54" s="247">
        <f t="shared" si="3"/>
        <v>17807</v>
      </c>
      <c r="F54" s="247">
        <f>D54</f>
        <v>17807</v>
      </c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</sheetData>
  <mergeCells count="1">
    <mergeCell ref="U2:V2"/>
  </mergeCells>
  <conditionalFormatting sqref="E2:E54">
    <cfRule type="cellIs" dxfId="32" priority="1" operator="notEqual">
      <formula>$D2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N79"/>
  <sheetViews>
    <sheetView zoomScale="130" zoomScaleNormal="130" workbookViewId="0">
      <selection activeCell="A18" sqref="A18:I20"/>
    </sheetView>
  </sheetViews>
  <sheetFormatPr defaultColWidth="14.28515625" defaultRowHeight="15.75"/>
  <cols>
    <col min="1" max="4" width="14.28515625" style="1"/>
    <col min="5" max="5" width="14.42578125" style="1" bestFit="1" customWidth="1"/>
    <col min="6" max="6" width="14.28515625" style="1" customWidth="1"/>
    <col min="7" max="7" width="14.28515625" style="1"/>
    <col min="8" max="8" width="14.28515625" style="1" customWidth="1"/>
    <col min="9" max="9" width="17.42578125" style="1" customWidth="1"/>
    <col min="10" max="10" width="14.28515625" style="1" customWidth="1"/>
    <col min="11" max="16384" width="14.28515625" style="1"/>
  </cols>
  <sheetData>
    <row r="1" spans="1:10">
      <c r="A1" s="395" t="s">
        <v>168</v>
      </c>
      <c r="B1" s="395"/>
      <c r="C1" s="395"/>
      <c r="D1" s="395"/>
    </row>
    <row r="2" spans="1:10">
      <c r="A2" s="424" t="s">
        <v>169</v>
      </c>
      <c r="B2" s="424"/>
      <c r="C2" s="424"/>
      <c r="D2" s="424"/>
      <c r="E2" s="154">
        <f>VstupySR!B36</f>
        <v>211404.65999999997</v>
      </c>
      <c r="F2" s="155"/>
    </row>
    <row r="3" spans="1:10">
      <c r="A3" s="423" t="s">
        <v>170</v>
      </c>
      <c r="B3" s="423"/>
      <c r="C3" s="423"/>
      <c r="D3" s="423"/>
      <c r="E3" s="151">
        <f>VstupySR!B47</f>
        <v>13360141</v>
      </c>
      <c r="F3" s="125">
        <f>E3/SUM(E3:E4)</f>
        <v>0.87790353569029023</v>
      </c>
    </row>
    <row r="4" spans="1:10">
      <c r="A4" s="423" t="s">
        <v>171</v>
      </c>
      <c r="B4" s="423"/>
      <c r="C4" s="423"/>
      <c r="D4" s="423"/>
      <c r="E4" s="151">
        <f>VstupySR!B48+VstupySR!B49</f>
        <v>1858092.5038609935</v>
      </c>
      <c r="F4" s="179">
        <f>1-F3</f>
        <v>0.12209646430970977</v>
      </c>
    </row>
    <row r="5" spans="1:10">
      <c r="A5" s="429" t="s">
        <v>692</v>
      </c>
      <c r="B5" s="430"/>
      <c r="C5" s="430"/>
      <c r="D5" s="431"/>
      <c r="E5" s="151">
        <f>VstupySR!B14/1.362</f>
        <v>1378195.3010279001</v>
      </c>
      <c r="F5" s="122"/>
    </row>
    <row r="6" spans="1:10">
      <c r="A6" s="423" t="s">
        <v>172</v>
      </c>
      <c r="B6" s="423"/>
      <c r="C6" s="423"/>
      <c r="D6" s="423"/>
      <c r="E6" s="151">
        <f>SUM(E3:E5)</f>
        <v>16596428.804888893</v>
      </c>
      <c r="F6" s="122"/>
    </row>
    <row r="7" spans="1:10">
      <c r="A7" s="425" t="s">
        <v>173</v>
      </c>
      <c r="B7" s="425"/>
      <c r="C7" s="425"/>
      <c r="D7" s="425"/>
      <c r="E7" s="154">
        <f>E$6*$F7</f>
        <v>497892.86414666678</v>
      </c>
      <c r="F7" s="156">
        <f>VstupyUPJS!B4</f>
        <v>0.03</v>
      </c>
    </row>
    <row r="8" spans="1:10">
      <c r="A8" s="425" t="s">
        <v>122</v>
      </c>
      <c r="B8" s="425"/>
      <c r="C8" s="425"/>
      <c r="D8" s="425"/>
      <c r="E8" s="154">
        <f>E$6*$F8</f>
        <v>2157535.7446355564</v>
      </c>
      <c r="F8" s="156">
        <f>VstupyUPJS!B3</f>
        <v>0.13</v>
      </c>
    </row>
    <row r="9" spans="1:10">
      <c r="A9" s="420" t="s">
        <v>174</v>
      </c>
      <c r="B9" s="420"/>
      <c r="C9" s="420"/>
      <c r="D9" s="420"/>
      <c r="E9" s="264">
        <f>L65</f>
        <v>1643200</v>
      </c>
      <c r="F9" s="265">
        <f>E9/E6</f>
        <v>9.9009251888933739E-2</v>
      </c>
    </row>
    <row r="10" spans="1:10">
      <c r="A10" s="426"/>
      <c r="B10" s="427"/>
      <c r="C10" s="427"/>
      <c r="D10" s="428"/>
      <c r="E10" s="157"/>
      <c r="F10" s="158"/>
      <c r="H10" s="123" t="s">
        <v>175</v>
      </c>
      <c r="I10" s="123" t="s">
        <v>176</v>
      </c>
      <c r="J10" s="123" t="s">
        <v>177</v>
      </c>
    </row>
    <row r="11" spans="1:10">
      <c r="A11" s="423" t="s">
        <v>178</v>
      </c>
      <c r="B11" s="423"/>
      <c r="C11" s="423"/>
      <c r="D11" s="423"/>
      <c r="E11" s="151">
        <f>E6-SUM(E7:E10)</f>
        <v>12297800.19610667</v>
      </c>
      <c r="F11" s="122"/>
      <c r="H11" s="159">
        <v>0.34337004192296783</v>
      </c>
      <c r="I11" s="159">
        <v>0.46847541843537127</v>
      </c>
      <c r="J11" s="159">
        <v>0.18815453964166085</v>
      </c>
    </row>
    <row r="12" spans="1:10">
      <c r="A12" s="422" t="s">
        <v>179</v>
      </c>
      <c r="B12" s="422"/>
      <c r="C12" s="422"/>
      <c r="D12" s="422"/>
      <c r="E12" s="151">
        <f>E$11*F3</f>
        <v>10796282.27337479</v>
      </c>
      <c r="F12" s="112"/>
      <c r="H12" s="160">
        <f>H11*$E12</f>
        <v>3707119.8968208963</v>
      </c>
      <c r="I12" s="160">
        <f>I11*$E12</f>
        <v>5057792.8555656364</v>
      </c>
      <c r="J12" s="160">
        <f>J11*$E12</f>
        <v>2031369.5209882574</v>
      </c>
    </row>
    <row r="13" spans="1:10">
      <c r="A13" s="423" t="s">
        <v>180</v>
      </c>
      <c r="B13" s="423"/>
      <c r="C13" s="423"/>
      <c r="D13" s="423"/>
      <c r="E13" s="151">
        <f>E$11*F4</f>
        <v>1501517.9227318799</v>
      </c>
      <c r="F13" s="122"/>
    </row>
    <row r="14" spans="1:10">
      <c r="A14" s="7"/>
      <c r="B14" s="7"/>
      <c r="C14" s="7"/>
      <c r="D14" s="7"/>
      <c r="E14" s="8"/>
      <c r="F14" s="8"/>
      <c r="G14" s="8"/>
    </row>
    <row r="15" spans="1:10" s="6" customFormat="1" ht="31.5">
      <c r="A15" s="421" t="s">
        <v>181</v>
      </c>
      <c r="B15" s="421"/>
      <c r="C15" s="421"/>
      <c r="D15" s="421"/>
      <c r="E15" s="161" t="s">
        <v>182</v>
      </c>
      <c r="F15" s="153" t="s">
        <v>183</v>
      </c>
      <c r="G15" s="161" t="s">
        <v>184</v>
      </c>
      <c r="H15" s="153" t="s">
        <v>185</v>
      </c>
    </row>
    <row r="16" spans="1:10">
      <c r="A16" s="423" t="s">
        <v>186</v>
      </c>
      <c r="B16" s="423"/>
      <c r="C16" s="423"/>
      <c r="D16" s="423"/>
      <c r="E16" s="162">
        <v>0.9</v>
      </c>
      <c r="F16" s="163">
        <f>H16*E16</f>
        <v>1.786441038796478</v>
      </c>
      <c r="G16" s="151">
        <f>E$13*F16/(F$16+F$17)</f>
        <v>1496832.1023290674</v>
      </c>
      <c r="H16" s="164">
        <v>1.9849344875516421</v>
      </c>
      <c r="I16" s="1" t="s">
        <v>653</v>
      </c>
    </row>
    <row r="17" spans="1:13">
      <c r="A17" s="423" t="s">
        <v>187</v>
      </c>
      <c r="B17" s="423"/>
      <c r="C17" s="423"/>
      <c r="D17" s="423"/>
      <c r="E17" s="162">
        <f>1-E16</f>
        <v>9.9999999999999978E-2</v>
      </c>
      <c r="F17" s="163">
        <f>E17*H17</f>
        <v>5.5924387611603482E-3</v>
      </c>
      <c r="G17" s="151">
        <f>E$13*F17/(F$16+F$17)</f>
        <v>4685.8204028125638</v>
      </c>
      <c r="H17" s="165">
        <v>5.5924387611603496E-2</v>
      </c>
      <c r="I17" s="1" t="s">
        <v>654</v>
      </c>
    </row>
    <row r="18" spans="1:13">
      <c r="A18" s="7"/>
      <c r="B18" s="7"/>
      <c r="C18" s="7"/>
      <c r="D18" s="7"/>
      <c r="E18" s="9" t="s">
        <v>188</v>
      </c>
      <c r="F18" s="29"/>
      <c r="G18" s="8"/>
      <c r="H18" s="30"/>
    </row>
    <row r="19" spans="1:13">
      <c r="A19" s="395" t="s">
        <v>189</v>
      </c>
      <c r="B19" s="395"/>
      <c r="C19" s="395"/>
      <c r="D19" s="395"/>
      <c r="F19" s="29"/>
      <c r="G19" s="8"/>
      <c r="H19" s="30"/>
    </row>
    <row r="20" spans="1:13" ht="63">
      <c r="A20" s="140" t="s">
        <v>141</v>
      </c>
      <c r="B20" s="166" t="s">
        <v>670</v>
      </c>
      <c r="C20" s="166" t="s">
        <v>190</v>
      </c>
      <c r="D20" s="166" t="s">
        <v>191</v>
      </c>
      <c r="E20" s="166" t="s">
        <v>667</v>
      </c>
      <c r="F20" s="166" t="s">
        <v>192</v>
      </c>
      <c r="G20" s="166" t="s">
        <v>193</v>
      </c>
      <c r="H20" s="166" t="s">
        <v>194</v>
      </c>
      <c r="J20" s="153" t="s">
        <v>550</v>
      </c>
      <c r="K20" s="153" t="s">
        <v>551</v>
      </c>
      <c r="L20" s="153" t="s">
        <v>655</v>
      </c>
      <c r="M20" s="123" t="s">
        <v>656</v>
      </c>
    </row>
    <row r="21" spans="1:13">
      <c r="A21" s="142" t="s">
        <v>124</v>
      </c>
      <c r="B21" s="167">
        <f>J21+K21</f>
        <v>2443.8804247818503</v>
      </c>
      <c r="C21" s="167">
        <v>-173.54439170364822</v>
      </c>
      <c r="D21" s="167">
        <v>7.9179166666666667</v>
      </c>
      <c r="E21" s="168">
        <v>1</v>
      </c>
      <c r="F21" s="169">
        <f>SUM(B21:D21)*E21</f>
        <v>2278.2539497448688</v>
      </c>
      <c r="G21" s="125">
        <f>F21/F$28</f>
        <v>0.48963872802888631</v>
      </c>
      <c r="H21" s="170">
        <f>G21*$H$12</f>
        <v>1815149.47092996</v>
      </c>
      <c r="J21" s="303">
        <v>2417.3644247818502</v>
      </c>
      <c r="K21" s="303">
        <v>26.515999999999998</v>
      </c>
      <c r="L21" s="122">
        <v>962</v>
      </c>
      <c r="M21" s="160">
        <f>H21/L21</f>
        <v>1886.8497618814554</v>
      </c>
    </row>
    <row r="22" spans="1:13">
      <c r="A22" s="142" t="s">
        <v>125</v>
      </c>
      <c r="B22" s="167">
        <f t="shared" ref="B22:B26" si="0">J22+K22</f>
        <v>600.84597260273961</v>
      </c>
      <c r="C22" s="167">
        <v>-54.219492237442992</v>
      </c>
      <c r="D22" s="167">
        <v>60.598365363499788</v>
      </c>
      <c r="E22" s="168">
        <v>1</v>
      </c>
      <c r="F22" s="169">
        <f t="shared" ref="F22:F27" si="1">SUM(B22:D22)*E22</f>
        <v>607.22484572879637</v>
      </c>
      <c r="G22" s="125">
        <f t="shared" ref="G22:G27" si="2">F22/F$28</f>
        <v>0.1305038014412222</v>
      </c>
      <c r="H22" s="170">
        <f t="shared" ref="H22:H27" si="3">G22*$H$12</f>
        <v>483793.23893351835</v>
      </c>
      <c r="J22" s="303">
        <v>586.24399999999991</v>
      </c>
      <c r="K22" s="303">
        <v>14.601972602739723</v>
      </c>
      <c r="L22" s="122">
        <v>478</v>
      </c>
      <c r="M22" s="160">
        <f t="shared" ref="M22:M28" si="4">H22/L22</f>
        <v>1012.1197467228418</v>
      </c>
    </row>
    <row r="23" spans="1:13">
      <c r="A23" s="142" t="s">
        <v>126</v>
      </c>
      <c r="B23" s="167">
        <f t="shared" si="0"/>
        <v>371.4592233009709</v>
      </c>
      <c r="C23" s="167">
        <v>-25.224304207119751</v>
      </c>
      <c r="D23" s="167">
        <v>0.40533333333333332</v>
      </c>
      <c r="E23" s="168">
        <v>1</v>
      </c>
      <c r="F23" s="169">
        <f t="shared" si="1"/>
        <v>346.64025242718446</v>
      </c>
      <c r="G23" s="125">
        <f t="shared" si="2"/>
        <v>7.4499373654576914E-2</v>
      </c>
      <c r="H23" s="170">
        <f t="shared" si="3"/>
        <v>276178.11037557659</v>
      </c>
      <c r="J23" s="303">
        <v>364.34271844660196</v>
      </c>
      <c r="K23" s="303">
        <v>7.116504854368932</v>
      </c>
      <c r="L23" s="122">
        <v>430</v>
      </c>
      <c r="M23" s="160">
        <f t="shared" si="4"/>
        <v>642.27467529203864</v>
      </c>
    </row>
    <row r="24" spans="1:13">
      <c r="A24" s="142" t="s">
        <v>127</v>
      </c>
      <c r="B24" s="167">
        <f t="shared" si="0"/>
        <v>351</v>
      </c>
      <c r="C24" s="167">
        <v>-41.207777777777778</v>
      </c>
      <c r="D24" s="167">
        <v>1.9090129449838187</v>
      </c>
      <c r="E24" s="168">
        <v>1</v>
      </c>
      <c r="F24" s="169">
        <f t="shared" si="1"/>
        <v>311.70123516720605</v>
      </c>
      <c r="G24" s="125">
        <f t="shared" si="2"/>
        <v>6.699033544061006E-2</v>
      </c>
      <c r="H24" s="170">
        <f t="shared" si="3"/>
        <v>248341.20540659159</v>
      </c>
      <c r="J24" s="303">
        <v>342.9</v>
      </c>
      <c r="K24" s="303">
        <v>8.1</v>
      </c>
      <c r="L24" s="122">
        <v>402</v>
      </c>
      <c r="M24" s="160">
        <f t="shared" si="4"/>
        <v>617.76419255371047</v>
      </c>
    </row>
    <row r="25" spans="1:13">
      <c r="A25" s="142" t="s">
        <v>128</v>
      </c>
      <c r="B25" s="167">
        <f t="shared" si="0"/>
        <v>824.60654230235775</v>
      </c>
      <c r="C25" s="167">
        <v>-71.98003828016644</v>
      </c>
      <c r="D25" s="167">
        <v>151.05481218926758</v>
      </c>
      <c r="E25" s="168">
        <v>1</v>
      </c>
      <c r="F25" s="169">
        <f t="shared" si="1"/>
        <v>903.68131621145881</v>
      </c>
      <c r="G25" s="125">
        <f t="shared" si="2"/>
        <v>0.19421775621756279</v>
      </c>
      <c r="H25" s="170">
        <f t="shared" si="3"/>
        <v>719988.50839003734</v>
      </c>
      <c r="J25" s="303">
        <v>801.1588280166435</v>
      </c>
      <c r="K25" s="303">
        <v>23.447714285714284</v>
      </c>
      <c r="L25" s="122">
        <v>858</v>
      </c>
      <c r="M25" s="160">
        <f t="shared" si="4"/>
        <v>839.14744567603418</v>
      </c>
    </row>
    <row r="26" spans="1:13">
      <c r="A26" s="142" t="s">
        <v>664</v>
      </c>
      <c r="B26" s="167">
        <f t="shared" si="0"/>
        <v>61.13624999999999</v>
      </c>
      <c r="C26" s="167">
        <v>-9.0365624999999987</v>
      </c>
      <c r="D26" s="167">
        <v>153.327126208404</v>
      </c>
      <c r="E26" s="168">
        <v>1</v>
      </c>
      <c r="F26" s="169">
        <f t="shared" si="1"/>
        <v>205.42681370840398</v>
      </c>
      <c r="G26" s="125">
        <f t="shared" si="2"/>
        <v>4.4150005217141818E-2</v>
      </c>
      <c r="H26" s="170">
        <f t="shared" si="3"/>
        <v>163669.36278521281</v>
      </c>
      <c r="I26" s="432" t="s">
        <v>674</v>
      </c>
      <c r="J26" s="303">
        <v>55.000312499999993</v>
      </c>
      <c r="K26" s="303">
        <v>6.1359374999999998</v>
      </c>
      <c r="L26" s="122">
        <v>58</v>
      </c>
      <c r="M26" s="160">
        <f t="shared" si="4"/>
        <v>2821.8855652622897</v>
      </c>
    </row>
    <row r="27" spans="1:13">
      <c r="A27" s="142" t="s">
        <v>130</v>
      </c>
      <c r="B27" s="167"/>
      <c r="C27" s="167">
        <v>0</v>
      </c>
      <c r="D27" s="167">
        <v>0</v>
      </c>
      <c r="E27" s="168">
        <v>1</v>
      </c>
      <c r="F27" s="169">
        <f t="shared" si="1"/>
        <v>0</v>
      </c>
      <c r="G27" s="125">
        <f t="shared" si="2"/>
        <v>0</v>
      </c>
      <c r="H27" s="170">
        <f t="shared" si="3"/>
        <v>0</v>
      </c>
      <c r="I27" s="432"/>
      <c r="J27" s="303"/>
      <c r="K27" s="303"/>
      <c r="L27" s="122"/>
      <c r="M27" s="122"/>
    </row>
    <row r="28" spans="1:13">
      <c r="A28" s="142" t="s">
        <v>150</v>
      </c>
      <c r="B28" s="171">
        <f>SUM(B21:B27)</f>
        <v>4652.9284129879179</v>
      </c>
      <c r="C28" s="172">
        <f>SUM(C21:C27)</f>
        <v>-375.2125667061552</v>
      </c>
      <c r="D28" s="172">
        <f>SUM(D21:D27)</f>
        <v>375.21256670615514</v>
      </c>
      <c r="E28" s="173">
        <v>1</v>
      </c>
      <c r="F28" s="172">
        <f>SUM(F21:F27)</f>
        <v>4652.9284129879179</v>
      </c>
      <c r="G28" s="145">
        <f>SUM(G21:G27)</f>
        <v>1</v>
      </c>
      <c r="H28" s="170">
        <f t="shared" ref="H28" si="5">SUM(H21:H27)</f>
        <v>3707119.8968208968</v>
      </c>
      <c r="J28" s="303">
        <f>SUM(J21:J27)</f>
        <v>4567.0102837450959</v>
      </c>
      <c r="K28" s="303">
        <f>SUM(K21:K27)</f>
        <v>85.918129242822928</v>
      </c>
      <c r="L28" s="122">
        <f>SUM(L21:L27)</f>
        <v>3188</v>
      </c>
      <c r="M28" s="160">
        <f t="shared" si="4"/>
        <v>1162.8356012612599</v>
      </c>
    </row>
    <row r="29" spans="1:13">
      <c r="A29" s="34" t="s">
        <v>701</v>
      </c>
      <c r="B29" s="60">
        <f>SUM(J29:K29)</f>
        <v>4652.9284129879179</v>
      </c>
      <c r="F29" s="29"/>
      <c r="G29" s="8"/>
      <c r="H29" s="30"/>
      <c r="J29" s="60">
        <v>4567.010283745095</v>
      </c>
      <c r="K29" s="60">
        <v>85.918129242822943</v>
      </c>
    </row>
    <row r="30" spans="1:13">
      <c r="A30" s="34"/>
      <c r="B30" s="65" t="s">
        <v>163</v>
      </c>
      <c r="C30" s="87"/>
      <c r="D30" s="87"/>
      <c r="F30" s="29"/>
      <c r="G30" s="8"/>
      <c r="H30" s="30"/>
      <c r="J30" s="1" t="s">
        <v>647</v>
      </c>
      <c r="K30" s="1" t="s">
        <v>648</v>
      </c>
    </row>
    <row r="31" spans="1:13">
      <c r="A31" s="34"/>
      <c r="B31" s="65"/>
      <c r="C31" s="87"/>
      <c r="D31" s="87"/>
      <c r="F31" s="29"/>
      <c r="G31" s="8"/>
      <c r="H31" s="30"/>
    </row>
    <row r="32" spans="1:13" ht="63">
      <c r="A32" s="140" t="s">
        <v>141</v>
      </c>
      <c r="B32" s="166" t="s">
        <v>671</v>
      </c>
      <c r="C32" s="166" t="s">
        <v>195</v>
      </c>
      <c r="D32" s="166" t="s">
        <v>196</v>
      </c>
      <c r="E32" s="166" t="s">
        <v>666</v>
      </c>
      <c r="F32" s="166" t="s">
        <v>197</v>
      </c>
      <c r="G32" s="166" t="s">
        <v>198</v>
      </c>
      <c r="H32" s="166" t="s">
        <v>199</v>
      </c>
      <c r="J32" s="153" t="s">
        <v>550</v>
      </c>
      <c r="K32" s="153" t="s">
        <v>551</v>
      </c>
      <c r="L32" s="153" t="s">
        <v>655</v>
      </c>
      <c r="M32" s="123" t="s">
        <v>656</v>
      </c>
    </row>
    <row r="33" spans="1:13">
      <c r="A33" s="142" t="s">
        <v>124</v>
      </c>
      <c r="B33" s="167">
        <f>J33+K33</f>
        <v>4440.8832984293194</v>
      </c>
      <c r="C33" s="167">
        <v>-18.496185240588382</v>
      </c>
      <c r="D33" s="167">
        <v>9.6414901960784327</v>
      </c>
      <c r="E33" s="301">
        <f>Vykony!M3</f>
        <v>0.91385992541173633</v>
      </c>
      <c r="F33" s="169">
        <f>SUM(B33:D33)*E33</f>
        <v>4050.2533289119242</v>
      </c>
      <c r="G33" s="125">
        <f t="shared" ref="G33:G39" si="6">F33/F$40</f>
        <v>0.68210816318221679</v>
      </c>
      <c r="H33" s="170">
        <f>G33*$I$12</f>
        <v>3449961.7944660154</v>
      </c>
      <c r="J33" s="303">
        <v>3435.5198198136941</v>
      </c>
      <c r="K33" s="303">
        <v>1005.3634786156251</v>
      </c>
      <c r="L33" s="122">
        <v>780</v>
      </c>
      <c r="M33" s="160">
        <f>H33/L33</f>
        <v>4423.0279416230969</v>
      </c>
    </row>
    <row r="34" spans="1:13">
      <c r="A34" s="142" t="s">
        <v>125</v>
      </c>
      <c r="B34" s="167">
        <f t="shared" ref="B34:B38" si="7">J34+K34</f>
        <v>680.67751113839006</v>
      </c>
      <c r="C34" s="167">
        <v>-48.818253406970861</v>
      </c>
      <c r="D34" s="167">
        <v>19.605037754290088</v>
      </c>
      <c r="E34" s="301">
        <f>Vykony!M4</f>
        <v>1.2752366486343658</v>
      </c>
      <c r="F34" s="169">
        <f t="shared" ref="F34:F39" si="8">SUM(B34:D34)*E34</f>
        <v>830.77114488014411</v>
      </c>
      <c r="G34" s="125">
        <f t="shared" si="6"/>
        <v>0.13991119410084316</v>
      </c>
      <c r="H34" s="170">
        <f t="shared" ref="H34:H39" si="9">G34*$I$12</f>
        <v>707641.83793690149</v>
      </c>
      <c r="J34" s="303">
        <v>497.67261540771756</v>
      </c>
      <c r="K34" s="303">
        <v>183.00489573067253</v>
      </c>
      <c r="L34" s="122">
        <v>355</v>
      </c>
      <c r="M34" s="160">
        <f t="shared" ref="M34:M40" si="10">H34/L34</f>
        <v>1993.3572899631029</v>
      </c>
    </row>
    <row r="35" spans="1:13">
      <c r="A35" s="142" t="s">
        <v>126</v>
      </c>
      <c r="B35" s="167">
        <f t="shared" si="7"/>
        <v>322.67647058823525</v>
      </c>
      <c r="C35" s="167">
        <v>-2.716470588235294</v>
      </c>
      <c r="D35" s="167">
        <v>1.073684210526316</v>
      </c>
      <c r="E35" s="301">
        <f>Vykony!M5</f>
        <v>0.91875316547921204</v>
      </c>
      <c r="F35" s="169">
        <f t="shared" si="8"/>
        <v>294.95071359387475</v>
      </c>
      <c r="G35" s="125">
        <f t="shared" si="6"/>
        <v>4.9673013794633437E-2</v>
      </c>
      <c r="H35" s="170">
        <f t="shared" si="9"/>
        <v>251235.8142849103</v>
      </c>
      <c r="J35" s="303">
        <v>260.57647058823528</v>
      </c>
      <c r="K35" s="303">
        <v>62.099999999999994</v>
      </c>
      <c r="L35" s="122">
        <v>214</v>
      </c>
      <c r="M35" s="160">
        <f t="shared" si="10"/>
        <v>1173.9991321724781</v>
      </c>
    </row>
    <row r="36" spans="1:13">
      <c r="A36" s="142" t="s">
        <v>127</v>
      </c>
      <c r="B36" s="167">
        <f t="shared" si="7"/>
        <v>215.81424148606811</v>
      </c>
      <c r="C36" s="167">
        <v>-6.8275541795665635</v>
      </c>
      <c r="D36" s="167">
        <v>1.2540907563025212</v>
      </c>
      <c r="E36" s="301">
        <f>Vykony!M6</f>
        <v>0.83942504730154965</v>
      </c>
      <c r="F36" s="169">
        <f t="shared" si="8"/>
        <v>176.48137507008391</v>
      </c>
      <c r="G36" s="125">
        <f t="shared" si="6"/>
        <v>2.9721446242787483E-2</v>
      </c>
      <c r="H36" s="170">
        <f t="shared" si="9"/>
        <v>150324.91846384865</v>
      </c>
      <c r="J36" s="303">
        <v>161.93498452012383</v>
      </c>
      <c r="K36" s="303">
        <v>53.879256965944272</v>
      </c>
      <c r="L36" s="122">
        <v>138</v>
      </c>
      <c r="M36" s="160">
        <f t="shared" si="10"/>
        <v>1089.311003361222</v>
      </c>
    </row>
    <row r="37" spans="1:13">
      <c r="A37" s="142" t="s">
        <v>128</v>
      </c>
      <c r="B37" s="167">
        <f t="shared" si="7"/>
        <v>556.46358129529506</v>
      </c>
      <c r="C37" s="167">
        <v>-32.950563298776224</v>
      </c>
      <c r="D37" s="167">
        <v>51.269270650537543</v>
      </c>
      <c r="E37" s="301">
        <f>Vykony!M7</f>
        <v>0.98024315759493041</v>
      </c>
      <c r="F37" s="169">
        <f t="shared" si="8"/>
        <v>563.42640555303126</v>
      </c>
      <c r="G37" s="125">
        <f t="shared" si="6"/>
        <v>9.4887336512203185E-2</v>
      </c>
      <c r="H37" s="170">
        <f t="shared" si="9"/>
        <v>479920.4926950736</v>
      </c>
      <c r="J37" s="303">
        <v>428.7742603662241</v>
      </c>
      <c r="K37" s="303">
        <v>127.68932092907093</v>
      </c>
      <c r="L37" s="122">
        <v>407</v>
      </c>
      <c r="M37" s="160">
        <f t="shared" si="10"/>
        <v>1179.1658297176255</v>
      </c>
    </row>
    <row r="38" spans="1:13">
      <c r="A38" s="142" t="s">
        <v>664</v>
      </c>
      <c r="B38" s="167">
        <f t="shared" si="7"/>
        <v>0</v>
      </c>
      <c r="C38" s="167">
        <v>0</v>
      </c>
      <c r="D38" s="167">
        <v>26.965453146402421</v>
      </c>
      <c r="E38" s="301">
        <f>Vykony!M8</f>
        <v>0.81449324606011264</v>
      </c>
      <c r="F38" s="169">
        <f t="shared" si="8"/>
        <v>21.963179464695187</v>
      </c>
      <c r="G38" s="125">
        <f t="shared" si="6"/>
        <v>3.6988461673159697E-3</v>
      </c>
      <c r="H38" s="170">
        <f t="shared" si="9"/>
        <v>18707.997718887047</v>
      </c>
      <c r="J38" s="303">
        <v>0</v>
      </c>
      <c r="K38" s="303">
        <v>0</v>
      </c>
      <c r="L38" s="122"/>
      <c r="M38" s="160"/>
    </row>
    <row r="39" spans="1:13">
      <c r="A39" s="142" t="s">
        <v>130</v>
      </c>
      <c r="B39" s="167"/>
      <c r="C39" s="167">
        <v>0</v>
      </c>
      <c r="D39" s="167">
        <v>0</v>
      </c>
      <c r="E39" s="301">
        <f>Vykony!M9</f>
        <v>1.2999286910512693</v>
      </c>
      <c r="F39" s="169">
        <f t="shared" si="8"/>
        <v>0</v>
      </c>
      <c r="G39" s="125">
        <f t="shared" si="6"/>
        <v>0</v>
      </c>
      <c r="H39" s="170">
        <f t="shared" si="9"/>
        <v>0</v>
      </c>
      <c r="J39" s="303"/>
      <c r="K39" s="303"/>
      <c r="L39" s="122"/>
      <c r="M39" s="122"/>
    </row>
    <row r="40" spans="1:13">
      <c r="A40" s="142" t="s">
        <v>150</v>
      </c>
      <c r="B40" s="171">
        <f>SUM(B33:B39)</f>
        <v>6216.5151029373083</v>
      </c>
      <c r="C40" s="172">
        <f>SUM(C33:C39)</f>
        <v>-109.80902671413733</v>
      </c>
      <c r="D40" s="172">
        <f>SUM(D33:D39)</f>
        <v>109.80902671413732</v>
      </c>
      <c r="E40" s="174">
        <f>Vykony!M10</f>
        <v>1.0105917441311998</v>
      </c>
      <c r="F40" s="172">
        <f>SUM(F33:F39)</f>
        <v>5937.8461474737533</v>
      </c>
      <c r="G40" s="145">
        <f>SUM(G33:G39)</f>
        <v>1</v>
      </c>
      <c r="H40" s="170">
        <f>SUM(H33:H39)</f>
        <v>5057792.8555656364</v>
      </c>
      <c r="J40" s="303">
        <f>SUM(J33:J39)</f>
        <v>4784.4781506959953</v>
      </c>
      <c r="K40" s="303">
        <f>SUM(K33:K39)</f>
        <v>1432.0369522413127</v>
      </c>
      <c r="L40" s="122">
        <f>SUM(L33:L39)</f>
        <v>1894</v>
      </c>
      <c r="M40" s="160">
        <f t="shared" si="10"/>
        <v>2670.429174005088</v>
      </c>
    </row>
    <row r="41" spans="1:13">
      <c r="A41" s="34" t="s">
        <v>701</v>
      </c>
      <c r="B41" s="60">
        <f>SUM(J41:K41)</f>
        <v>6216.5151029373055</v>
      </c>
      <c r="F41" s="29"/>
      <c r="G41" s="8"/>
      <c r="H41" s="30"/>
      <c r="J41" s="60">
        <v>4784.4781506959926</v>
      </c>
      <c r="K41" s="60">
        <v>1432.036952241313</v>
      </c>
    </row>
    <row r="42" spans="1:13">
      <c r="A42" s="7"/>
      <c r="B42" s="65"/>
      <c r="C42" s="87"/>
      <c r="D42" s="87"/>
      <c r="F42" s="29"/>
      <c r="G42" s="8"/>
      <c r="H42" s="30"/>
      <c r="J42" s="1" t="s">
        <v>649</v>
      </c>
      <c r="K42" s="1" t="s">
        <v>648</v>
      </c>
    </row>
    <row r="43" spans="1:13">
      <c r="A43" s="395"/>
      <c r="B43" s="395"/>
      <c r="C43" s="395"/>
      <c r="D43" s="395"/>
      <c r="H43" s="94"/>
    </row>
    <row r="44" spans="1:13" ht="63">
      <c r="A44" s="140" t="s">
        <v>141</v>
      </c>
      <c r="B44" s="166" t="s">
        <v>672</v>
      </c>
      <c r="C44" s="166" t="s">
        <v>200</v>
      </c>
      <c r="D44" s="166" t="s">
        <v>201</v>
      </c>
      <c r="E44" s="166" t="s">
        <v>665</v>
      </c>
      <c r="F44" s="166" t="s">
        <v>202</v>
      </c>
      <c r="G44" s="166" t="s">
        <v>203</v>
      </c>
      <c r="H44" s="166" t="s">
        <v>204</v>
      </c>
      <c r="I44" s="175" t="s">
        <v>205</v>
      </c>
      <c r="J44" s="153" t="s">
        <v>550</v>
      </c>
      <c r="K44" s="153" t="s">
        <v>551</v>
      </c>
      <c r="L44" s="153" t="s">
        <v>655</v>
      </c>
      <c r="M44" s="123" t="s">
        <v>656</v>
      </c>
    </row>
    <row r="45" spans="1:13">
      <c r="A45" s="142" t="s">
        <v>124</v>
      </c>
      <c r="B45" s="167">
        <f>J45+K45</f>
        <v>808.83500000000004</v>
      </c>
      <c r="C45" s="167">
        <v>-106.81159999999997</v>
      </c>
      <c r="D45" s="167">
        <v>2.13</v>
      </c>
      <c r="E45" s="301">
        <f>Vykony!N3</f>
        <v>0.82771985082347288</v>
      </c>
      <c r="F45" s="169">
        <f>SUM(B45:D45)*E45</f>
        <v>582.84174720484123</v>
      </c>
      <c r="G45" s="125">
        <f>F45/F$52</f>
        <v>0.20216249957374094</v>
      </c>
      <c r="H45" s="170">
        <f>G45*$J$12</f>
        <v>410666.73992089892</v>
      </c>
      <c r="I45" s="176">
        <f t="shared" ref="I45:I51" si="11">H21+H33+H45</f>
        <v>5675778.0053168749</v>
      </c>
      <c r="J45" s="303">
        <v>647.17500000000007</v>
      </c>
      <c r="K45" s="303">
        <v>161.66</v>
      </c>
      <c r="L45" s="122">
        <v>74</v>
      </c>
      <c r="M45" s="160">
        <f>H45/L45</f>
        <v>5549.5505394716074</v>
      </c>
    </row>
    <row r="46" spans="1:13">
      <c r="A46" s="142" t="s">
        <v>125</v>
      </c>
      <c r="B46" s="167">
        <f t="shared" ref="B46:B50" si="12">J46+K46</f>
        <v>1151.5238636363638</v>
      </c>
      <c r="C46" s="167">
        <v>-36.482079545454539</v>
      </c>
      <c r="D46" s="167">
        <v>0.64166666666666672</v>
      </c>
      <c r="E46" s="301">
        <f>Vykony!N4</f>
        <v>1.5504732972687316</v>
      </c>
      <c r="F46" s="169">
        <f t="shared" ref="F46:F51" si="13">SUM(B46:D46)*E46</f>
        <v>1729.8373986042552</v>
      </c>
      <c r="G46" s="125">
        <f t="shared" ref="G46:G50" si="14">F46/F$52</f>
        <v>0.6000054972641965</v>
      </c>
      <c r="H46" s="170">
        <f t="shared" ref="H46:H51" si="15">G46*$J$12</f>
        <v>1218832.8795678921</v>
      </c>
      <c r="I46" s="176">
        <f t="shared" si="11"/>
        <v>2410267.9564383118</v>
      </c>
      <c r="J46" s="303">
        <v>945.04295454545456</v>
      </c>
      <c r="K46" s="303">
        <v>206.48090909090911</v>
      </c>
      <c r="L46" s="122">
        <v>156</v>
      </c>
      <c r="M46" s="160">
        <f t="shared" ref="M46:M52" si="16">H46/L46</f>
        <v>7813.0312792813593</v>
      </c>
    </row>
    <row r="47" spans="1:13">
      <c r="A47" s="142" t="s">
        <v>126</v>
      </c>
      <c r="B47" s="167">
        <f t="shared" si="12"/>
        <v>162.80000000000001</v>
      </c>
      <c r="C47" s="167">
        <v>-6.5633333333333335</v>
      </c>
      <c r="D47" s="167">
        <v>0</v>
      </c>
      <c r="E47" s="301">
        <f>Vykony!N5</f>
        <v>0.83750633095842408</v>
      </c>
      <c r="F47" s="169">
        <f t="shared" si="13"/>
        <v>130.84919746117433</v>
      </c>
      <c r="G47" s="125">
        <f t="shared" si="14"/>
        <v>4.5385906127743618E-2</v>
      </c>
      <c r="H47" s="170">
        <f t="shared" si="15"/>
        <v>92195.546390332573</v>
      </c>
      <c r="I47" s="176">
        <f t="shared" si="11"/>
        <v>619609.47105081938</v>
      </c>
      <c r="J47" s="303">
        <v>140.80000000000001</v>
      </c>
      <c r="K47" s="303">
        <v>22</v>
      </c>
      <c r="L47" s="122">
        <v>32</v>
      </c>
      <c r="M47" s="160">
        <f t="shared" si="16"/>
        <v>2881.1108246978929</v>
      </c>
    </row>
    <row r="48" spans="1:13">
      <c r="A48" s="142" t="s">
        <v>127</v>
      </c>
      <c r="B48" s="167">
        <f t="shared" si="12"/>
        <v>39.6</v>
      </c>
      <c r="C48" s="167">
        <v>-1.4666666666666668</v>
      </c>
      <c r="D48" s="167">
        <v>3.01</v>
      </c>
      <c r="E48" s="301">
        <f>Vykony!N6</f>
        <v>0.67885009460309953</v>
      </c>
      <c r="F48" s="169">
        <f t="shared" si="13"/>
        <v>27.930155725620189</v>
      </c>
      <c r="G48" s="125">
        <f t="shared" si="14"/>
        <v>9.6877585074405404E-3</v>
      </c>
      <c r="H48" s="170">
        <f t="shared" si="15"/>
        <v>19679.417358709405</v>
      </c>
      <c r="I48" s="176">
        <f t="shared" si="11"/>
        <v>418345.54122914962</v>
      </c>
      <c r="J48" s="303">
        <v>35.200000000000003</v>
      </c>
      <c r="K48" s="303">
        <v>4.4000000000000004</v>
      </c>
      <c r="L48" s="122">
        <v>8</v>
      </c>
      <c r="M48" s="160">
        <f t="shared" si="16"/>
        <v>2459.9271698386756</v>
      </c>
    </row>
    <row r="49" spans="1:14">
      <c r="A49" s="142" t="s">
        <v>128</v>
      </c>
      <c r="B49" s="167">
        <f t="shared" si="12"/>
        <v>283.25000000000006</v>
      </c>
      <c r="C49" s="167">
        <v>-0.71500000000000008</v>
      </c>
      <c r="D49" s="167">
        <v>145.43817954545452</v>
      </c>
      <c r="E49" s="301">
        <f>Vykony!N7</f>
        <v>0.96048631518986083</v>
      </c>
      <c r="F49" s="169">
        <f t="shared" si="13"/>
        <v>411.06238222170242</v>
      </c>
      <c r="G49" s="125">
        <f t="shared" si="14"/>
        <v>0.14257969520750485</v>
      </c>
      <c r="H49" s="170">
        <f t="shared" si="15"/>
        <v>289632.04715632088</v>
      </c>
      <c r="I49" s="176">
        <f t="shared" si="11"/>
        <v>1489541.0482414318</v>
      </c>
      <c r="J49" s="303">
        <v>206.25000000000003</v>
      </c>
      <c r="K49" s="303">
        <v>77.000000000000014</v>
      </c>
      <c r="L49" s="122">
        <v>51</v>
      </c>
      <c r="M49" s="160">
        <f t="shared" si="16"/>
        <v>5679.0597481631548</v>
      </c>
    </row>
    <row r="50" spans="1:14">
      <c r="A50" s="142" t="s">
        <v>664</v>
      </c>
      <c r="B50" s="167">
        <f t="shared" si="12"/>
        <v>0</v>
      </c>
      <c r="C50" s="167">
        <v>0</v>
      </c>
      <c r="D50" s="167">
        <v>0.8188333333333333</v>
      </c>
      <c r="E50" s="301">
        <f>Vykony!N8</f>
        <v>0.62898649212022528</v>
      </c>
      <c r="F50" s="169">
        <f t="shared" si="13"/>
        <v>0.51503510596444446</v>
      </c>
      <c r="G50" s="125">
        <f t="shared" si="14"/>
        <v>1.7864331937328626E-4</v>
      </c>
      <c r="H50" s="170">
        <f t="shared" si="15"/>
        <v>362.89059410306476</v>
      </c>
      <c r="I50" s="176">
        <f t="shared" si="11"/>
        <v>182740.25109820292</v>
      </c>
      <c r="J50" s="303">
        <v>0</v>
      </c>
      <c r="K50" s="303">
        <v>0</v>
      </c>
      <c r="L50" s="122"/>
      <c r="M50" s="160"/>
    </row>
    <row r="51" spans="1:14">
      <c r="A51" s="142" t="s">
        <v>130</v>
      </c>
      <c r="B51" s="167"/>
      <c r="C51" s="167">
        <v>0</v>
      </c>
      <c r="D51" s="167">
        <v>0</v>
      </c>
      <c r="E51" s="301">
        <f>Vykony!N9</f>
        <v>1.5998573821025386</v>
      </c>
      <c r="F51" s="169">
        <f t="shared" si="13"/>
        <v>0</v>
      </c>
      <c r="G51" s="125"/>
      <c r="H51" s="170">
        <f t="shared" si="15"/>
        <v>0</v>
      </c>
      <c r="I51" s="176">
        <f t="shared" si="11"/>
        <v>0</v>
      </c>
      <c r="J51" s="303"/>
      <c r="K51" s="303"/>
      <c r="L51" s="122"/>
      <c r="M51" s="122"/>
    </row>
    <row r="52" spans="1:14">
      <c r="A52" s="142" t="s">
        <v>150</v>
      </c>
      <c r="B52" s="171">
        <f>SUM(B45:B51)</f>
        <v>2446.0088636363639</v>
      </c>
      <c r="C52" s="172">
        <f>SUM(C45:C51)</f>
        <v>-152.0386795454545</v>
      </c>
      <c r="D52" s="172">
        <f>SUM(D45:D51)</f>
        <v>152.03867954545453</v>
      </c>
      <c r="E52" s="174">
        <f>Vykony!N10</f>
        <v>1.0211834882623996</v>
      </c>
      <c r="F52" s="171">
        <f t="shared" ref="F52:H52" si="17">SUM(F45:F51)</f>
        <v>2883.0359163235585</v>
      </c>
      <c r="G52" s="177">
        <f t="shared" si="17"/>
        <v>0.99999999999999978</v>
      </c>
      <c r="H52" s="170">
        <f t="shared" si="17"/>
        <v>2031369.5209882571</v>
      </c>
      <c r="I52" s="176">
        <f t="shared" ref="I52" si="18">SUM(I45:I51)</f>
        <v>10796282.27337479</v>
      </c>
      <c r="J52" s="303">
        <f>SUM(J45:J51)</f>
        <v>1974.4679545454546</v>
      </c>
      <c r="K52" s="303">
        <f>SUM(K45:K51)</f>
        <v>471.54090909090905</v>
      </c>
      <c r="L52" s="122">
        <f>SUM(L45:L51)</f>
        <v>321</v>
      </c>
      <c r="M52" s="160">
        <f t="shared" si="16"/>
        <v>6328.2539594649752</v>
      </c>
    </row>
    <row r="53" spans="1:14">
      <c r="A53" s="34" t="s">
        <v>701</v>
      </c>
      <c r="B53" s="60">
        <f>SUM(J53:K53)</f>
        <v>2446.0088636363635</v>
      </c>
      <c r="E53" s="60"/>
      <c r="J53" s="60">
        <v>1974.4679545454546</v>
      </c>
      <c r="K53" s="60">
        <v>471.54090909090894</v>
      </c>
    </row>
    <row r="54" spans="1:14">
      <c r="A54" s="433" t="s">
        <v>206</v>
      </c>
      <c r="B54" s="433"/>
      <c r="C54" s="433"/>
      <c r="D54" s="1" t="str">
        <f>"na základe výkonov v AiS2 za kalendárny rok "&amp;Rok-2&amp;" (pozri samostatný súbor)"</f>
        <v>na základe výkonov v AiS2 za kalendárny rok 2022 (pozri samostatný súbor)</v>
      </c>
      <c r="J54" s="1" t="s">
        <v>650</v>
      </c>
      <c r="K54" s="1" t="s">
        <v>648</v>
      </c>
    </row>
    <row r="55" spans="1:14">
      <c r="F55" s="49"/>
    </row>
    <row r="56" spans="1:14" ht="16.5" thickBot="1">
      <c r="A56" s="395" t="s">
        <v>207</v>
      </c>
      <c r="B56" s="395"/>
      <c r="C56" s="395"/>
      <c r="D56" s="395"/>
      <c r="F56" s="28" t="s">
        <v>211</v>
      </c>
      <c r="G56" s="28"/>
      <c r="H56" s="28"/>
      <c r="I56" s="28"/>
      <c r="J56" s="74"/>
      <c r="K56" s="74"/>
      <c r="L56" s="339" t="s">
        <v>138</v>
      </c>
      <c r="M56" s="339" t="s">
        <v>212</v>
      </c>
    </row>
    <row r="57" spans="1:14" ht="64.5" thickTop="1" thickBot="1">
      <c r="A57" s="140" t="s">
        <v>141</v>
      </c>
      <c r="B57" s="140" t="s">
        <v>208</v>
      </c>
      <c r="C57" s="140" t="s">
        <v>209</v>
      </c>
      <c r="D57" s="175" t="s">
        <v>210</v>
      </c>
      <c r="F57" s="258" t="s">
        <v>141</v>
      </c>
      <c r="G57" s="258" t="s">
        <v>213</v>
      </c>
      <c r="H57" s="258" t="s">
        <v>214</v>
      </c>
      <c r="I57" s="258" t="s">
        <v>215</v>
      </c>
      <c r="J57" s="258" t="s">
        <v>216</v>
      </c>
      <c r="K57" s="258" t="s">
        <v>661</v>
      </c>
      <c r="L57" s="259" t="s">
        <v>698</v>
      </c>
      <c r="M57" s="332" t="s">
        <v>699</v>
      </c>
      <c r="N57" s="336" t="s">
        <v>694</v>
      </c>
    </row>
    <row r="58" spans="1:14" ht="17.25" thickTop="1" thickBot="1">
      <c r="A58" s="142" t="s">
        <v>124</v>
      </c>
      <c r="B58" s="178">
        <f>Vykony!I17</f>
        <v>0.26639736014142662</v>
      </c>
      <c r="C58" s="178">
        <f>Vykony!C17</f>
        <v>0</v>
      </c>
      <c r="D58" s="176">
        <f t="shared" ref="D58:D64" si="19">B58*G$16+C58*G$17</f>
        <v>398752.1206354053</v>
      </c>
      <c r="F58" s="260" t="s">
        <v>124</v>
      </c>
      <c r="G58" s="261">
        <v>3</v>
      </c>
      <c r="H58" s="261">
        <v>33</v>
      </c>
      <c r="I58" s="261"/>
      <c r="J58" s="261">
        <v>60</v>
      </c>
      <c r="K58" s="308">
        <v>0</v>
      </c>
      <c r="L58" s="262">
        <f t="shared" ref="L58:L64" si="20">SUMPRODUCT(G58:J58,G$66:J$66)*12*K58</f>
        <v>0</v>
      </c>
      <c r="M58" s="333"/>
      <c r="N58" s="334"/>
    </row>
    <row r="59" spans="1:14" ht="17.25" thickTop="1" thickBot="1">
      <c r="A59" s="142" t="s">
        <v>125</v>
      </c>
      <c r="B59" s="178">
        <f>Vykony!I18</f>
        <v>0.39486460285834729</v>
      </c>
      <c r="C59" s="178">
        <f>Vykony!C18</f>
        <v>0</v>
      </c>
      <c r="D59" s="176">
        <f t="shared" si="19"/>
        <v>591046.01363179227</v>
      </c>
      <c r="F59" s="260" t="s">
        <v>125</v>
      </c>
      <c r="G59" s="261">
        <v>12</v>
      </c>
      <c r="H59" s="261">
        <v>16</v>
      </c>
      <c r="I59" s="261">
        <v>1</v>
      </c>
      <c r="J59" s="261">
        <v>73</v>
      </c>
      <c r="K59" s="308">
        <v>0</v>
      </c>
      <c r="L59" s="262">
        <f t="shared" si="20"/>
        <v>0</v>
      </c>
      <c r="M59" s="333"/>
      <c r="N59" s="334"/>
    </row>
    <row r="60" spans="1:14" ht="17.25" thickTop="1" thickBot="1">
      <c r="A60" s="142" t="s">
        <v>126</v>
      </c>
      <c r="B60" s="178">
        <f>Vykony!I19</f>
        <v>0.10120056643315707</v>
      </c>
      <c r="C60" s="178">
        <f>Vykony!C19</f>
        <v>0</v>
      </c>
      <c r="D60" s="176">
        <f t="shared" si="19"/>
        <v>151480.25661103494</v>
      </c>
      <c r="F60" s="260" t="s">
        <v>126</v>
      </c>
      <c r="G60" s="261"/>
      <c r="H60" s="261">
        <v>8</v>
      </c>
      <c r="I60" s="261"/>
      <c r="J60" s="261">
        <v>21</v>
      </c>
      <c r="K60" s="308">
        <v>1</v>
      </c>
      <c r="L60" s="321">
        <f>SUMPRODUCT(G60:J60,G$66:J$66)*12*K60+N60</f>
        <v>578800</v>
      </c>
      <c r="M60" s="333"/>
      <c r="N60" s="335">
        <v>490000</v>
      </c>
    </row>
    <row r="61" spans="1:14" ht="17.25" thickTop="1" thickBot="1">
      <c r="A61" s="142" t="s">
        <v>127</v>
      </c>
      <c r="B61" s="178">
        <f>Vykony!I20</f>
        <v>3.4334522694900491E-2</v>
      </c>
      <c r="C61" s="178">
        <f>Vykony!C20</f>
        <v>0</v>
      </c>
      <c r="D61" s="176">
        <f t="shared" si="19"/>
        <v>51393.015787872981</v>
      </c>
      <c r="F61" s="260" t="s">
        <v>127</v>
      </c>
      <c r="G61" s="261"/>
      <c r="H61" s="261">
        <v>1</v>
      </c>
      <c r="I61" s="261"/>
      <c r="J61" s="261">
        <v>13</v>
      </c>
      <c r="K61" s="308">
        <v>1</v>
      </c>
      <c r="L61" s="321">
        <f t="shared" ref="L61:L62" si="21">SUMPRODUCT(G61:J61,G$66:J$66)*12*K61+N61</f>
        <v>356000</v>
      </c>
      <c r="M61" s="333"/>
      <c r="N61" s="335">
        <v>320000</v>
      </c>
    </row>
    <row r="62" spans="1:14" ht="17.25" thickTop="1" thickBot="1">
      <c r="A62" s="142" t="s">
        <v>128</v>
      </c>
      <c r="B62" s="178">
        <f>Vykony!I21</f>
        <v>0.14276097079960914</v>
      </c>
      <c r="C62" s="178">
        <f>Vykony!C21</f>
        <v>7.6023391812865507E-2</v>
      </c>
      <c r="D62" s="176">
        <f t="shared" si="19"/>
        <v>214045.43601296531</v>
      </c>
      <c r="F62" s="260" t="s">
        <v>128</v>
      </c>
      <c r="G62" s="261">
        <v>3</v>
      </c>
      <c r="H62" s="261">
        <v>18</v>
      </c>
      <c r="I62" s="261">
        <v>1</v>
      </c>
      <c r="J62" s="261">
        <v>40</v>
      </c>
      <c r="K62" s="308">
        <v>1</v>
      </c>
      <c r="L62" s="321">
        <f t="shared" si="21"/>
        <v>694000</v>
      </c>
      <c r="M62" s="333"/>
      <c r="N62" s="335">
        <v>490000</v>
      </c>
    </row>
    <row r="63" spans="1:14" ht="17.25" thickTop="1" thickBot="1">
      <c r="A63" s="142" t="s">
        <v>664</v>
      </c>
      <c r="B63" s="178">
        <f>Vykony!I22</f>
        <v>9.2163895445855105E-3</v>
      </c>
      <c r="C63" s="178">
        <f>Vykony!C22</f>
        <v>0.92397660818713456</v>
      </c>
      <c r="D63" s="176">
        <f t="shared" si="19"/>
        <v>18124.976180270391</v>
      </c>
      <c r="F63" s="260" t="s">
        <v>129</v>
      </c>
      <c r="G63" s="261"/>
      <c r="H63" s="261">
        <v>1</v>
      </c>
      <c r="I63" s="261"/>
      <c r="J63" s="261">
        <v>4</v>
      </c>
      <c r="K63" s="308">
        <v>1</v>
      </c>
      <c r="L63" s="262">
        <f t="shared" si="20"/>
        <v>14400</v>
      </c>
      <c r="M63" s="333"/>
      <c r="N63" s="334"/>
    </row>
    <row r="64" spans="1:14" ht="17.25" thickTop="1" thickBot="1">
      <c r="A64" s="142" t="s">
        <v>130</v>
      </c>
      <c r="B64" s="178">
        <f>Vykony!I23</f>
        <v>5.1225587527973827E-2</v>
      </c>
      <c r="C64" s="178">
        <f>Vykony!C24</f>
        <v>0</v>
      </c>
      <c r="D64" s="176">
        <f t="shared" si="19"/>
        <v>76676.103872538719</v>
      </c>
      <c r="F64" s="260" t="s">
        <v>130</v>
      </c>
      <c r="G64" s="261">
        <v>2</v>
      </c>
      <c r="H64" s="261"/>
      <c r="I64" s="261"/>
      <c r="J64" s="261"/>
      <c r="K64" s="308">
        <v>0</v>
      </c>
      <c r="L64" s="262">
        <f t="shared" si="20"/>
        <v>0</v>
      </c>
      <c r="M64" s="333"/>
      <c r="N64" s="334"/>
    </row>
    <row r="65" spans="1:14" ht="17.25" thickTop="1" thickBot="1">
      <c r="A65" s="142" t="s">
        <v>150</v>
      </c>
      <c r="B65" s="179">
        <f>SUM(B58:B64)</f>
        <v>0.99999999999999989</v>
      </c>
      <c r="C65" s="179">
        <f>SUM(C58:C64)</f>
        <v>1</v>
      </c>
      <c r="D65" s="180">
        <f>SUM(D58:D64)</f>
        <v>1501517.9227318799</v>
      </c>
      <c r="F65" s="260" t="s">
        <v>150</v>
      </c>
      <c r="G65" s="261">
        <f>SUM(G58:G64)</f>
        <v>20</v>
      </c>
      <c r="H65" s="261">
        <f t="shared" ref="H65:J65" si="22">SUM(H58:H64)</f>
        <v>77</v>
      </c>
      <c r="I65" s="261">
        <f t="shared" si="22"/>
        <v>2</v>
      </c>
      <c r="J65" s="261">
        <f t="shared" si="22"/>
        <v>211</v>
      </c>
      <c r="K65" s="261"/>
      <c r="L65" s="321">
        <f>SUM(L58:L64)</f>
        <v>1643200</v>
      </c>
      <c r="M65" s="333">
        <f>SUM(M58:M64)</f>
        <v>0</v>
      </c>
      <c r="N65" s="334"/>
    </row>
    <row r="66" spans="1:14" ht="16.5" thickTop="1">
      <c r="F66" s="74"/>
      <c r="G66" s="263">
        <f>VstupyUPJS!B8</f>
        <v>500</v>
      </c>
      <c r="H66" s="263">
        <f>VstupyUPJS!B7</f>
        <v>400</v>
      </c>
      <c r="I66" s="263">
        <f>VstupyUPJS!B6</f>
        <v>300</v>
      </c>
      <c r="J66" s="263">
        <f>VstupyUPJS!B5</f>
        <v>200</v>
      </c>
      <c r="K66" s="263"/>
      <c r="L66" s="74"/>
    </row>
    <row r="71" spans="1:14">
      <c r="A71" s="122" t="s">
        <v>675</v>
      </c>
      <c r="B71" s="122" t="s">
        <v>676</v>
      </c>
      <c r="C71" s="122" t="s">
        <v>677</v>
      </c>
      <c r="D71" s="122" t="s">
        <v>678</v>
      </c>
      <c r="E71" s="122" t="s">
        <v>679</v>
      </c>
      <c r="F71" s="122" t="s">
        <v>680</v>
      </c>
      <c r="G71" s="122" t="s">
        <v>681</v>
      </c>
      <c r="H71" s="122" t="s">
        <v>682</v>
      </c>
      <c r="I71" s="122" t="s">
        <v>683</v>
      </c>
      <c r="J71" s="122" t="s">
        <v>684</v>
      </c>
      <c r="K71" s="122" t="s">
        <v>685</v>
      </c>
      <c r="L71" s="122" t="s">
        <v>686</v>
      </c>
    </row>
    <row r="72" spans="1:14">
      <c r="A72" s="142" t="s">
        <v>124</v>
      </c>
      <c r="B72" s="243">
        <v>4974.6637598459865</v>
      </c>
      <c r="C72" s="243">
        <v>3490.2973209429856</v>
      </c>
      <c r="D72" s="243">
        <v>2213.0685407369219</v>
      </c>
      <c r="E72" s="243">
        <v>2473.638544401198</v>
      </c>
      <c r="F72" s="243">
        <v>1383.9101358981627</v>
      </c>
      <c r="G72" s="243">
        <v>1007.0270300179031</v>
      </c>
      <c r="H72" s="243"/>
      <c r="I72" s="243">
        <v>2267.3280213276726</v>
      </c>
      <c r="J72" s="243" t="s">
        <v>684</v>
      </c>
      <c r="K72" s="243">
        <v>2744.6778366588474</v>
      </c>
      <c r="L72" s="243">
        <v>1288.6561903163724</v>
      </c>
    </row>
    <row r="73" spans="1:14">
      <c r="A73" s="142" t="s">
        <v>125</v>
      </c>
      <c r="B73" s="243">
        <v>4178.6510087593288</v>
      </c>
      <c r="C73" s="243">
        <v>3152.6294463227764</v>
      </c>
      <c r="D73" s="243">
        <v>1856.0703982502735</v>
      </c>
      <c r="E73" s="243">
        <v>1945.9915097488774</v>
      </c>
      <c r="F73" s="243">
        <v>1347.2119919964928</v>
      </c>
      <c r="G73" s="243">
        <v>889.2634925006613</v>
      </c>
      <c r="H73" s="243"/>
      <c r="I73" s="243">
        <v>2217.8771163999036</v>
      </c>
      <c r="J73" s="243" t="s">
        <v>684</v>
      </c>
      <c r="K73" s="243">
        <v>2637.1305319817693</v>
      </c>
      <c r="L73" s="243">
        <v>1194.0598411145008</v>
      </c>
    </row>
    <row r="74" spans="1:14">
      <c r="A74" s="142" t="s">
        <v>126</v>
      </c>
      <c r="B74" s="243">
        <v>2870.1724902268979</v>
      </c>
      <c r="C74" s="243">
        <v>2411.0808724184503</v>
      </c>
      <c r="D74" s="243">
        <v>1469.5475509278797</v>
      </c>
      <c r="E74" s="243">
        <v>1679.8274909205741</v>
      </c>
      <c r="F74" s="243">
        <v>1339.0669791666667</v>
      </c>
      <c r="G74" s="243">
        <v>822.44988545246281</v>
      </c>
      <c r="H74" s="243"/>
      <c r="I74" s="243">
        <v>1757.5721663083448</v>
      </c>
      <c r="J74" s="243" t="s">
        <v>684</v>
      </c>
      <c r="K74" s="243">
        <v>2028.9843998184697</v>
      </c>
      <c r="L74" s="243">
        <v>1141.6695309080612</v>
      </c>
    </row>
    <row r="75" spans="1:14">
      <c r="A75" s="142" t="s">
        <v>127</v>
      </c>
      <c r="B75" s="243">
        <v>2348.3003201280512</v>
      </c>
      <c r="C75" s="243">
        <v>2443.5614102564091</v>
      </c>
      <c r="D75" s="243">
        <v>1716.5273482505625</v>
      </c>
      <c r="E75" s="243"/>
      <c r="F75" s="243">
        <v>1188.3232250935478</v>
      </c>
      <c r="G75" s="243">
        <v>815.00383333333377</v>
      </c>
      <c r="H75" s="243"/>
      <c r="I75" s="243">
        <v>1696.0034897835321</v>
      </c>
      <c r="J75" s="243" t="s">
        <v>684</v>
      </c>
      <c r="K75" s="243">
        <v>2053.6578992414761</v>
      </c>
      <c r="L75" s="243">
        <v>1086.1726773563907</v>
      </c>
    </row>
    <row r="76" spans="1:14">
      <c r="A76" s="142" t="s">
        <v>128</v>
      </c>
      <c r="B76" s="243">
        <v>2896.4005252217471</v>
      </c>
      <c r="C76" s="243">
        <v>2186.0758151235609</v>
      </c>
      <c r="D76" s="243">
        <v>1616.227165518857</v>
      </c>
      <c r="E76" s="243">
        <v>1432.7247690120828</v>
      </c>
      <c r="F76" s="243">
        <v>1482.8582788824672</v>
      </c>
      <c r="G76" s="243">
        <v>777.78423700391386</v>
      </c>
      <c r="H76" s="243"/>
      <c r="I76" s="243">
        <v>1875.10232714838</v>
      </c>
      <c r="J76" s="243"/>
      <c r="K76" s="243">
        <v>2024.3733697200817</v>
      </c>
      <c r="L76" s="243">
        <v>1274.145349350279</v>
      </c>
    </row>
    <row r="77" spans="1:14">
      <c r="A77" s="122" t="s">
        <v>682</v>
      </c>
      <c r="B77" s="243"/>
      <c r="C77" s="243"/>
      <c r="D77" s="243"/>
      <c r="E77" s="243"/>
      <c r="F77" s="243"/>
      <c r="G77" s="243"/>
      <c r="H77" s="243">
        <v>1093.1210235508927</v>
      </c>
      <c r="I77" s="243">
        <v>1093.1210235508927</v>
      </c>
      <c r="J77" s="243"/>
      <c r="K77" s="243"/>
      <c r="L77" s="243">
        <v>1093.1210235508927</v>
      </c>
    </row>
    <row r="78" spans="1:14">
      <c r="A78" s="122" t="s">
        <v>687</v>
      </c>
      <c r="B78" s="243">
        <v>3665.7893407426141</v>
      </c>
      <c r="C78" s="243">
        <v>2349.671041666667</v>
      </c>
      <c r="D78" s="243">
        <v>1763.3584574934255</v>
      </c>
      <c r="E78" s="243">
        <v>2134.1437970981888</v>
      </c>
      <c r="F78" s="243">
        <v>1545.406571449186</v>
      </c>
      <c r="G78" s="243">
        <v>1118.591818541086</v>
      </c>
      <c r="H78" s="243"/>
      <c r="I78" s="243">
        <v>1575.2527479445191</v>
      </c>
      <c r="J78" s="243"/>
      <c r="K78" s="243">
        <v>2206.6918566570662</v>
      </c>
      <c r="L78" s="243">
        <v>1487.4976900257786</v>
      </c>
    </row>
    <row r="79" spans="1:14">
      <c r="A79" s="122" t="s">
        <v>683</v>
      </c>
      <c r="B79" s="243">
        <v>4101.0485313500239</v>
      </c>
      <c r="C79" s="243">
        <v>2958.4453377217819</v>
      </c>
      <c r="D79" s="243">
        <v>2011.1901094907728</v>
      </c>
      <c r="E79" s="243">
        <v>2172.067012455705</v>
      </c>
      <c r="F79" s="243">
        <v>1452.5286148308517</v>
      </c>
      <c r="G79" s="243">
        <v>977.3428644937577</v>
      </c>
      <c r="H79" s="243"/>
      <c r="I79" s="243">
        <v>1970.4539928379436</v>
      </c>
      <c r="J79" s="243"/>
      <c r="K79" s="243">
        <v>2526.3021042035325</v>
      </c>
      <c r="L79" s="243">
        <v>1309.4054495374232</v>
      </c>
    </row>
  </sheetData>
  <sortState xmlns:xlrd2="http://schemas.microsoft.com/office/spreadsheetml/2017/richdata2" ref="A50:F55">
    <sortCondition ref="A50:A55"/>
  </sortState>
  <mergeCells count="21">
    <mergeCell ref="I26:I27"/>
    <mergeCell ref="A56:D56"/>
    <mergeCell ref="A16:D16"/>
    <mergeCell ref="A17:D17"/>
    <mergeCell ref="A43:D43"/>
    <mergeCell ref="A54:C54"/>
    <mergeCell ref="A19:D19"/>
    <mergeCell ref="A9:D9"/>
    <mergeCell ref="A1:D1"/>
    <mergeCell ref="A15:D15"/>
    <mergeCell ref="A12:D12"/>
    <mergeCell ref="A13:D13"/>
    <mergeCell ref="A2:D2"/>
    <mergeCell ref="A3:D3"/>
    <mergeCell ref="A7:D7"/>
    <mergeCell ref="A8:D8"/>
    <mergeCell ref="A11:D11"/>
    <mergeCell ref="A4:D4"/>
    <mergeCell ref="A6:D6"/>
    <mergeCell ref="A10:D10"/>
    <mergeCell ref="A5:D5"/>
  </mergeCells>
  <conditionalFormatting sqref="B29:B31">
    <cfRule type="cellIs" dxfId="31" priority="15" operator="between">
      <formula>B28-0.9</formula>
      <formula>B28+0.9</formula>
    </cfRule>
  </conditionalFormatting>
  <conditionalFormatting sqref="B41:B42">
    <cfRule type="cellIs" dxfId="30" priority="8" operator="between">
      <formula>B40-0.9</formula>
      <formula>B40+0.9</formula>
    </cfRule>
  </conditionalFormatting>
  <conditionalFormatting sqref="B53">
    <cfRule type="cellIs" dxfId="29" priority="7" operator="between">
      <formula>B52-0.9</formula>
      <formula>B52+0.9</formula>
    </cfRule>
  </conditionalFormatting>
  <conditionalFormatting sqref="E53">
    <cfRule type="cellIs" dxfId="28" priority="32" operator="between">
      <formula>E52-0.9</formula>
      <formula>E52+0.9</formula>
    </cfRule>
  </conditionalFormatting>
  <conditionalFormatting sqref="J29:K29">
    <cfRule type="cellIs" dxfId="27" priority="5" operator="between">
      <formula>J28-0.9</formula>
      <formula>J28+0.9</formula>
    </cfRule>
  </conditionalFormatting>
  <conditionalFormatting sqref="J41:K41">
    <cfRule type="cellIs" dxfId="26" priority="3" operator="between">
      <formula>J40-0.9</formula>
      <formula>J40+0.9</formula>
    </cfRule>
  </conditionalFormatting>
  <conditionalFormatting sqref="J53:K53">
    <cfRule type="cellIs" dxfId="25" priority="1" operator="between">
      <formula>J52-0.9</formula>
      <formula>J52+0.9</formula>
    </cfRule>
  </conditionalFormatting>
  <pageMargins left="0.31496062992125984" right="0.31496062992125984" top="0.74803149606299213" bottom="0.55118110236220474" header="0.31496062992125984" footer="0.31496062992125984"/>
  <pageSetup paperSize="9" scale="76" fitToHeight="2" orientation="landscape" r:id="rId1"/>
  <headerFooter scaleWithDoc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L71"/>
  <sheetViews>
    <sheetView zoomScale="130" zoomScaleNormal="130" workbookViewId="0">
      <selection activeCell="A16" sqref="A16:D16"/>
    </sheetView>
  </sheetViews>
  <sheetFormatPr defaultColWidth="14.28515625" defaultRowHeight="15.75"/>
  <cols>
    <col min="1" max="8" width="17.140625" style="1" customWidth="1"/>
    <col min="9" max="16384" width="14.28515625" style="1"/>
  </cols>
  <sheetData>
    <row r="1" spans="1:7">
      <c r="A1" s="444" t="s">
        <v>217</v>
      </c>
      <c r="B1" s="444"/>
      <c r="C1" s="444"/>
      <c r="D1" s="444"/>
    </row>
    <row r="2" spans="1:7">
      <c r="A2" s="443" t="s">
        <v>218</v>
      </c>
      <c r="B2" s="443"/>
      <c r="C2" s="443"/>
      <c r="D2" s="443"/>
      <c r="E2" s="160">
        <f>VstupySR!B11</f>
        <v>5082816</v>
      </c>
      <c r="F2" s="153"/>
    </row>
    <row r="3" spans="1:7">
      <c r="A3" s="443" t="str">
        <f>"Zvýšenie o úpravu bežnej dotácie z decembra "&amp;Rok-1</f>
        <v>Zvýšenie o úpravu bežnej dotácie z decembra 2023</v>
      </c>
      <c r="B3" s="443"/>
      <c r="C3" s="443"/>
      <c r="D3" s="443"/>
      <c r="E3" s="357">
        <f>VstupyUPJS!B12</f>
        <v>0</v>
      </c>
      <c r="F3" s="153"/>
      <c r="G3" s="356" t="s">
        <v>702</v>
      </c>
    </row>
    <row r="4" spans="1:7">
      <c r="A4" s="448" t="s">
        <v>636</v>
      </c>
      <c r="B4" s="448"/>
      <c r="C4" s="448"/>
      <c r="D4" s="448"/>
      <c r="E4" s="285">
        <f>VstupySR!B12</f>
        <v>95579</v>
      </c>
      <c r="F4" s="284"/>
    </row>
    <row r="5" spans="1:7">
      <c r="A5" s="425" t="s">
        <v>219</v>
      </c>
      <c r="B5" s="425"/>
      <c r="C5" s="425"/>
      <c r="D5" s="425"/>
      <c r="E5" s="180">
        <f>VstupySR!B39</f>
        <v>371512</v>
      </c>
      <c r="F5" s="155"/>
    </row>
    <row r="6" spans="1:7">
      <c r="A6" s="445" t="s">
        <v>220</v>
      </c>
      <c r="B6" s="446"/>
      <c r="C6" s="446"/>
      <c r="D6" s="447"/>
      <c r="E6" s="152">
        <f>E2+E3-SUM(E4:E5)</f>
        <v>4615725</v>
      </c>
      <c r="F6" s="179"/>
    </row>
    <row r="7" spans="1:7">
      <c r="A7" s="425" t="s">
        <v>221</v>
      </c>
      <c r="B7" s="425"/>
      <c r="C7" s="425"/>
      <c r="D7" s="425"/>
      <c r="E7" s="176">
        <f>ROUND(E6*F7,0)</f>
        <v>207708</v>
      </c>
      <c r="F7" s="156">
        <f>VstupyUPJS!B13</f>
        <v>4.4999999999999998E-2</v>
      </c>
      <c r="G7" s="356" t="s">
        <v>705</v>
      </c>
    </row>
    <row r="8" spans="1:7">
      <c r="A8" s="425" t="s">
        <v>156</v>
      </c>
      <c r="B8" s="425"/>
      <c r="C8" s="425"/>
      <c r="D8" s="425"/>
      <c r="E8" s="329">
        <f>2529711*1.05-200000-150000</f>
        <v>2306196.5500000003</v>
      </c>
      <c r="F8" s="156"/>
      <c r="G8" s="356" t="s">
        <v>703</v>
      </c>
    </row>
    <row r="9" spans="1:7">
      <c r="A9" s="423" t="s">
        <v>222</v>
      </c>
      <c r="B9" s="423"/>
      <c r="C9" s="423"/>
      <c r="D9" s="423"/>
      <c r="E9" s="181">
        <f>E14</f>
        <v>1500518</v>
      </c>
      <c r="F9" s="179"/>
      <c r="G9" s="356" t="s">
        <v>704</v>
      </c>
    </row>
    <row r="10" spans="1:7">
      <c r="A10" s="423" t="s">
        <v>223</v>
      </c>
      <c r="B10" s="423"/>
      <c r="C10" s="423"/>
      <c r="D10" s="423"/>
      <c r="E10" s="181">
        <f>E6-SUM(E7:E9)</f>
        <v>601302.44999999972</v>
      </c>
      <c r="F10" s="179"/>
    </row>
    <row r="11" spans="1:7">
      <c r="A11" s="425" t="s">
        <v>224</v>
      </c>
      <c r="B11" s="425"/>
      <c r="C11" s="425"/>
      <c r="D11" s="425"/>
      <c r="E11" s="176">
        <f>ROUND(E10*F11,0)</f>
        <v>90195</v>
      </c>
      <c r="F11" s="156">
        <f>VstupyUPJS!B14</f>
        <v>0.15</v>
      </c>
    </row>
    <row r="12" spans="1:7">
      <c r="A12" s="423" t="s">
        <v>225</v>
      </c>
      <c r="B12" s="423"/>
      <c r="C12" s="423"/>
      <c r="D12" s="423"/>
      <c r="E12" s="181">
        <f>E10-E11</f>
        <v>511107.44999999972</v>
      </c>
      <c r="F12" s="179"/>
    </row>
    <row r="13" spans="1:7">
      <c r="G13" s="1" t="s">
        <v>226</v>
      </c>
    </row>
    <row r="14" spans="1:7">
      <c r="A14" s="450" t="s">
        <v>222</v>
      </c>
      <c r="B14" s="450"/>
      <c r="C14" s="450"/>
      <c r="D14" s="450"/>
      <c r="E14" s="152">
        <f>SUM(E15:E44)</f>
        <v>1500518</v>
      </c>
      <c r="G14" s="152">
        <f>SUM(G17:G44)</f>
        <v>1270000</v>
      </c>
    </row>
    <row r="15" spans="1:7" s="44" customFormat="1" ht="16.350000000000001" customHeight="1">
      <c r="A15" s="451" t="s">
        <v>725</v>
      </c>
      <c r="B15" s="451"/>
      <c r="C15" s="451"/>
      <c r="D15" s="451"/>
      <c r="E15" s="374">
        <v>150000</v>
      </c>
      <c r="G15" s="183">
        <v>0</v>
      </c>
    </row>
    <row r="16" spans="1:7" s="44" customFormat="1" ht="16.350000000000001" customHeight="1">
      <c r="A16" s="452" t="s">
        <v>700</v>
      </c>
      <c r="B16" s="453"/>
      <c r="C16" s="453"/>
      <c r="D16" s="454"/>
      <c r="E16" s="374">
        <v>50000</v>
      </c>
      <c r="G16" s="183">
        <v>0</v>
      </c>
    </row>
    <row r="17" spans="1:7" s="44" customFormat="1" ht="16.350000000000001" customHeight="1">
      <c r="A17" s="434" t="s">
        <v>227</v>
      </c>
      <c r="B17" s="435"/>
      <c r="C17" s="435"/>
      <c r="D17" s="436"/>
      <c r="E17" s="182">
        <v>50000</v>
      </c>
      <c r="G17" s="183">
        <v>30000</v>
      </c>
    </row>
    <row r="18" spans="1:7" s="44" customFormat="1" ht="15">
      <c r="A18" s="437" t="s">
        <v>228</v>
      </c>
      <c r="B18" s="437"/>
      <c r="C18" s="437"/>
      <c r="D18" s="437"/>
      <c r="E18" s="182">
        <v>7000</v>
      </c>
      <c r="G18" s="183">
        <v>7000</v>
      </c>
    </row>
    <row r="19" spans="1:7" s="44" customFormat="1" ht="15">
      <c r="A19" s="437" t="s">
        <v>229</v>
      </c>
      <c r="B19" s="437"/>
      <c r="C19" s="437"/>
      <c r="D19" s="437"/>
      <c r="E19" s="182">
        <v>94000</v>
      </c>
      <c r="G19" s="183">
        <v>94000</v>
      </c>
    </row>
    <row r="20" spans="1:7" s="44" customFormat="1" ht="45.6" customHeight="1">
      <c r="A20" s="438" t="s">
        <v>230</v>
      </c>
      <c r="B20" s="439"/>
      <c r="C20" s="439"/>
      <c r="D20" s="440"/>
      <c r="E20" s="182">
        <v>73000</v>
      </c>
      <c r="G20" s="183">
        <v>73000</v>
      </c>
    </row>
    <row r="21" spans="1:7" s="44" customFormat="1" ht="15">
      <c r="A21" s="437" t="s">
        <v>231</v>
      </c>
      <c r="B21" s="437"/>
      <c r="C21" s="437"/>
      <c r="D21" s="437"/>
      <c r="E21" s="182">
        <v>22000</v>
      </c>
      <c r="G21" s="183">
        <v>22000</v>
      </c>
    </row>
    <row r="22" spans="1:7" s="44" customFormat="1" ht="15">
      <c r="A22" s="437" t="s">
        <v>232</v>
      </c>
      <c r="B22" s="437"/>
      <c r="C22" s="437"/>
      <c r="D22" s="437"/>
      <c r="E22" s="328">
        <v>193000</v>
      </c>
      <c r="G22" s="183">
        <v>100000</v>
      </c>
    </row>
    <row r="23" spans="1:7" s="44" customFormat="1" ht="31.35" customHeight="1">
      <c r="A23" s="449" t="s">
        <v>553</v>
      </c>
      <c r="B23" s="449"/>
      <c r="C23" s="449"/>
      <c r="D23" s="449"/>
      <c r="E23" s="182">
        <v>35000</v>
      </c>
      <c r="G23" s="183">
        <v>35000</v>
      </c>
    </row>
    <row r="24" spans="1:7" s="44" customFormat="1" ht="31.35" customHeight="1">
      <c r="A24" s="441" t="s">
        <v>724</v>
      </c>
      <c r="B24" s="441"/>
      <c r="C24" s="441"/>
      <c r="D24" s="441"/>
      <c r="E24" s="328">
        <v>60000</v>
      </c>
      <c r="G24" s="183"/>
    </row>
    <row r="25" spans="1:7" s="44" customFormat="1" ht="15">
      <c r="A25" s="437" t="s">
        <v>233</v>
      </c>
      <c r="B25" s="437"/>
      <c r="C25" s="437"/>
      <c r="D25" s="437"/>
      <c r="E25" s="182">
        <v>4000</v>
      </c>
      <c r="G25" s="183">
        <v>4000</v>
      </c>
    </row>
    <row r="26" spans="1:7" s="44" customFormat="1" ht="15">
      <c r="A26" s="437" t="s">
        <v>234</v>
      </c>
      <c r="B26" s="437"/>
      <c r="C26" s="437"/>
      <c r="D26" s="437"/>
      <c r="E26" s="182">
        <v>15000</v>
      </c>
      <c r="G26" s="183">
        <v>8000</v>
      </c>
    </row>
    <row r="27" spans="1:7" s="44" customFormat="1" ht="15">
      <c r="A27" s="437" t="s">
        <v>235</v>
      </c>
      <c r="B27" s="437"/>
      <c r="C27" s="437"/>
      <c r="D27" s="437"/>
      <c r="E27" s="182">
        <v>4500</v>
      </c>
      <c r="G27" s="183">
        <v>4500</v>
      </c>
    </row>
    <row r="28" spans="1:7" s="44" customFormat="1" ht="15">
      <c r="A28" s="437" t="s">
        <v>236</v>
      </c>
      <c r="B28" s="437"/>
      <c r="C28" s="437"/>
      <c r="D28" s="437"/>
      <c r="E28" s="182">
        <v>45000</v>
      </c>
      <c r="G28" s="183">
        <v>45000</v>
      </c>
    </row>
    <row r="29" spans="1:7" s="44" customFormat="1" ht="15">
      <c r="A29" s="437" t="s">
        <v>237</v>
      </c>
      <c r="B29" s="437"/>
      <c r="C29" s="437"/>
      <c r="D29" s="437"/>
      <c r="E29" s="328">
        <v>25000</v>
      </c>
      <c r="G29" s="183">
        <v>0</v>
      </c>
    </row>
    <row r="30" spans="1:7" s="44" customFormat="1" ht="15">
      <c r="A30" s="437" t="s">
        <v>238</v>
      </c>
      <c r="B30" s="437"/>
      <c r="C30" s="437"/>
      <c r="D30" s="437"/>
      <c r="E30" s="182">
        <v>15000</v>
      </c>
      <c r="G30" s="183">
        <v>15000</v>
      </c>
    </row>
    <row r="31" spans="1:7" s="44" customFormat="1" ht="14.85" customHeight="1">
      <c r="A31" s="438" t="s">
        <v>239</v>
      </c>
      <c r="B31" s="435"/>
      <c r="C31" s="435"/>
      <c r="D31" s="436"/>
      <c r="E31" s="328">
        <v>25000</v>
      </c>
      <c r="G31" s="183">
        <v>12500</v>
      </c>
    </row>
    <row r="32" spans="1:7" s="44" customFormat="1" ht="15">
      <c r="A32" s="437" t="s">
        <v>240</v>
      </c>
      <c r="B32" s="437"/>
      <c r="C32" s="437"/>
      <c r="D32" s="437"/>
      <c r="E32" s="182">
        <v>40000</v>
      </c>
      <c r="G32" s="183">
        <v>40000</v>
      </c>
    </row>
    <row r="33" spans="1:8" s="44" customFormat="1" ht="15">
      <c r="A33" s="437" t="s">
        <v>241</v>
      </c>
      <c r="B33" s="437"/>
      <c r="C33" s="437"/>
      <c r="D33" s="437"/>
      <c r="E33" s="328">
        <v>25000</v>
      </c>
      <c r="G33" s="183">
        <v>15000</v>
      </c>
    </row>
    <row r="34" spans="1:8" s="44" customFormat="1" ht="15">
      <c r="A34" s="437" t="s">
        <v>242</v>
      </c>
      <c r="B34" s="437"/>
      <c r="C34" s="437"/>
      <c r="D34" s="437"/>
      <c r="E34" s="182">
        <v>10000</v>
      </c>
      <c r="G34" s="183">
        <v>10000</v>
      </c>
    </row>
    <row r="35" spans="1:8" s="44" customFormat="1" ht="15">
      <c r="A35" s="437" t="s">
        <v>243</v>
      </c>
      <c r="B35" s="437"/>
      <c r="C35" s="437"/>
      <c r="D35" s="437"/>
      <c r="E35" s="182">
        <v>0</v>
      </c>
      <c r="G35" s="183">
        <v>20000</v>
      </c>
    </row>
    <row r="36" spans="1:8" s="44" customFormat="1" ht="15">
      <c r="A36" s="437" t="s">
        <v>244</v>
      </c>
      <c r="B36" s="437"/>
      <c r="C36" s="437"/>
      <c r="D36" s="437"/>
      <c r="E36" s="330">
        <v>60000</v>
      </c>
      <c r="G36" s="183">
        <v>60000</v>
      </c>
    </row>
    <row r="37" spans="1:8" s="44" customFormat="1" ht="15">
      <c r="A37" s="437" t="s">
        <v>245</v>
      </c>
      <c r="B37" s="437"/>
      <c r="C37" s="437"/>
      <c r="D37" s="437"/>
      <c r="E37" s="328">
        <v>60000</v>
      </c>
      <c r="G37" s="183">
        <v>50000</v>
      </c>
    </row>
    <row r="38" spans="1:8" s="44" customFormat="1" ht="15">
      <c r="A38" s="434" t="s">
        <v>246</v>
      </c>
      <c r="B38" s="435"/>
      <c r="C38" s="435"/>
      <c r="D38" s="436"/>
      <c r="E38" s="330">
        <v>37258</v>
      </c>
      <c r="F38" s="66"/>
      <c r="G38" s="183">
        <v>60000</v>
      </c>
    </row>
    <row r="39" spans="1:8" s="44" customFormat="1" ht="15">
      <c r="A39" s="434" t="s">
        <v>247</v>
      </c>
      <c r="B39" s="435"/>
      <c r="C39" s="435"/>
      <c r="D39" s="436"/>
      <c r="E39" s="328">
        <f>350000</f>
        <v>350000</v>
      </c>
      <c r="F39" s="66"/>
      <c r="G39" s="183">
        <v>350000</v>
      </c>
      <c r="H39" s="44" t="s">
        <v>695</v>
      </c>
    </row>
    <row r="40" spans="1:8" s="44" customFormat="1" ht="15">
      <c r="A40" s="434" t="s">
        <v>707</v>
      </c>
      <c r="B40" s="435"/>
      <c r="C40" s="435"/>
      <c r="D40" s="436"/>
      <c r="E40" s="182">
        <v>30000</v>
      </c>
      <c r="F40" s="66"/>
      <c r="G40" s="183">
        <v>0</v>
      </c>
    </row>
    <row r="41" spans="1:8" s="44" customFormat="1" ht="15">
      <c r="A41" s="434" t="s">
        <v>248</v>
      </c>
      <c r="B41" s="435"/>
      <c r="C41" s="435"/>
      <c r="D41" s="436"/>
      <c r="E41" s="182">
        <v>0</v>
      </c>
      <c r="F41" s="66"/>
      <c r="G41" s="183">
        <v>200000</v>
      </c>
    </row>
    <row r="42" spans="1:8" s="44" customFormat="1" ht="15">
      <c r="A42" s="434" t="s">
        <v>249</v>
      </c>
      <c r="B42" s="435"/>
      <c r="C42" s="435"/>
      <c r="D42" s="436"/>
      <c r="E42" s="182">
        <v>20760</v>
      </c>
      <c r="G42" s="183">
        <v>15000</v>
      </c>
    </row>
    <row r="43" spans="1:8" s="44" customFormat="1" ht="15"/>
    <row r="44" spans="1:8">
      <c r="A44" s="42"/>
      <c r="B44" s="42"/>
      <c r="C44" s="42"/>
      <c r="D44" s="42"/>
      <c r="E44" s="43"/>
    </row>
    <row r="45" spans="1:8">
      <c r="A45" s="421" t="s">
        <v>250</v>
      </c>
      <c r="B45" s="421"/>
      <c r="C45" s="421"/>
      <c r="D45" s="421"/>
      <c r="E45" s="160">
        <f>E12</f>
        <v>511107.44999999972</v>
      </c>
      <c r="F45" s="123" t="s">
        <v>251</v>
      </c>
      <c r="G45" s="123" t="s">
        <v>185</v>
      </c>
    </row>
    <row r="46" spans="1:8">
      <c r="A46" s="423" t="s">
        <v>252</v>
      </c>
      <c r="B46" s="423"/>
      <c r="C46" s="423"/>
      <c r="D46" s="423"/>
      <c r="E46" s="181">
        <f>(E$45)*F46</f>
        <v>5884.0653804331905</v>
      </c>
      <c r="F46" s="125">
        <f>G46/SUM(G$46:G$50)</f>
        <v>1.1512384294991579E-2</v>
      </c>
      <c r="G46" s="181">
        <v>53138</v>
      </c>
      <c r="H46" s="1" t="s">
        <v>253</v>
      </c>
    </row>
    <row r="47" spans="1:8">
      <c r="A47" s="423" t="s">
        <v>254</v>
      </c>
      <c r="B47" s="423"/>
      <c r="C47" s="423"/>
      <c r="D47" s="423"/>
      <c r="E47" s="181">
        <f>(E$45)*F47</f>
        <v>16617.296915782452</v>
      </c>
      <c r="F47" s="125">
        <f>G47/SUM(G$46:G$50)</f>
        <v>3.2512335548586624E-2</v>
      </c>
      <c r="G47" s="181">
        <v>150068</v>
      </c>
      <c r="H47" s="1" t="s">
        <v>255</v>
      </c>
    </row>
    <row r="48" spans="1:8">
      <c r="A48" s="423" t="s">
        <v>256</v>
      </c>
      <c r="B48" s="423"/>
      <c r="C48" s="423"/>
      <c r="D48" s="423"/>
      <c r="E48" s="181">
        <f>(E$45)*F48</f>
        <v>56791.67292813152</v>
      </c>
      <c r="F48" s="125">
        <f>G48/SUM(G$46:G$50)</f>
        <v>0.11111493860661109</v>
      </c>
      <c r="G48" s="181">
        <v>512876</v>
      </c>
      <c r="H48" s="1" t="s">
        <v>257</v>
      </c>
    </row>
    <row r="49" spans="1:12">
      <c r="A49" s="443" t="s">
        <v>258</v>
      </c>
      <c r="B49" s="423"/>
      <c r="C49" s="423"/>
      <c r="D49" s="423"/>
      <c r="E49" s="181">
        <f>(E$45)*F49</f>
        <v>125002.56077510027</v>
      </c>
      <c r="F49" s="125">
        <f>G49/SUM(G$46:G$50)</f>
        <v>0.24457197948317977</v>
      </c>
      <c r="G49" s="181">
        <v>1128877</v>
      </c>
      <c r="H49" s="1" t="s">
        <v>554</v>
      </c>
    </row>
    <row r="50" spans="1:12">
      <c r="A50" s="423" t="s">
        <v>259</v>
      </c>
      <c r="B50" s="423"/>
      <c r="C50" s="423"/>
      <c r="D50" s="423"/>
      <c r="E50" s="181">
        <f>(E$45)*F50</f>
        <v>306811.85400055232</v>
      </c>
      <c r="F50" s="125">
        <f>G50/SUM(G$46:G$50)</f>
        <v>0.60028836206663094</v>
      </c>
      <c r="G50" s="181">
        <f>G51+G52</f>
        <v>2770766</v>
      </c>
      <c r="H50" s="1" t="s">
        <v>555</v>
      </c>
    </row>
    <row r="51" spans="1:12">
      <c r="A51" s="423" t="s">
        <v>260</v>
      </c>
      <c r="B51" s="423"/>
      <c r="C51" s="423"/>
      <c r="D51" s="423"/>
      <c r="E51" s="181">
        <f>B62</f>
        <v>140000</v>
      </c>
      <c r="F51" s="122"/>
      <c r="G51" s="309">
        <v>150000</v>
      </c>
      <c r="H51" s="1" t="s">
        <v>261</v>
      </c>
    </row>
    <row r="52" spans="1:12">
      <c r="A52" s="423" t="s">
        <v>262</v>
      </c>
      <c r="B52" s="423"/>
      <c r="C52" s="423"/>
      <c r="D52" s="423"/>
      <c r="E52" s="181">
        <f>E50-E51</f>
        <v>166811.85400055232</v>
      </c>
      <c r="F52" s="122"/>
      <c r="G52" s="181">
        <v>2620766</v>
      </c>
      <c r="H52" s="1" t="s">
        <v>556</v>
      </c>
    </row>
    <row r="54" spans="1:12">
      <c r="A54" s="395" t="s">
        <v>263</v>
      </c>
      <c r="B54" s="395"/>
      <c r="C54" s="395"/>
      <c r="D54" s="395"/>
    </row>
    <row r="55" spans="1:12" s="11" customFormat="1" ht="63">
      <c r="A55" s="166" t="s">
        <v>141</v>
      </c>
      <c r="B55" s="166" t="s">
        <v>264</v>
      </c>
      <c r="C55" s="166" t="s">
        <v>265</v>
      </c>
      <c r="D55" s="166" t="s">
        <v>266</v>
      </c>
      <c r="E55" s="166" t="s">
        <v>267</v>
      </c>
      <c r="F55" s="166" t="s">
        <v>268</v>
      </c>
      <c r="G55" s="166" t="s">
        <v>269</v>
      </c>
    </row>
    <row r="56" spans="1:12">
      <c r="A56" s="142" t="s">
        <v>124</v>
      </c>
      <c r="B56" s="309">
        <v>25000</v>
      </c>
      <c r="C56" s="178">
        <f>Granty!Q18</f>
        <v>0.39803785357583876</v>
      </c>
      <c r="D56" s="178">
        <f>Vykony!I54</f>
        <v>0.63793919518036424</v>
      </c>
      <c r="E56" s="178">
        <f>Vykony!G32</f>
        <v>0.64144495972662929</v>
      </c>
      <c r="F56" s="178">
        <f>Vykony!C32</f>
        <v>0.56861003707433078</v>
      </c>
      <c r="G56" s="178">
        <f>Vykony!E32</f>
        <v>0.35281201969825293</v>
      </c>
    </row>
    <row r="57" spans="1:12">
      <c r="A57" s="142" t="s">
        <v>125</v>
      </c>
      <c r="B57" s="309">
        <v>25000</v>
      </c>
      <c r="C57" s="178">
        <f>Granty!Q19</f>
        <v>0.33699599943576503</v>
      </c>
      <c r="D57" s="178">
        <f>Vykony!I55</f>
        <v>0.10131788065719985</v>
      </c>
      <c r="E57" s="178">
        <f>Vykony!G33</f>
        <v>0.35855504027337076</v>
      </c>
      <c r="F57" s="178">
        <f>Vykony!C33</f>
        <v>0.1771220605875371</v>
      </c>
      <c r="G57" s="178">
        <f>Vykony!E33</f>
        <v>0.19769611994604944</v>
      </c>
    </row>
    <row r="58" spans="1:12">
      <c r="A58" s="142" t="s">
        <v>126</v>
      </c>
      <c r="B58" s="309">
        <v>25000</v>
      </c>
      <c r="C58" s="178">
        <f>Granty!Q20</f>
        <v>0</v>
      </c>
      <c r="D58" s="178">
        <f>Vykony!I56</f>
        <v>4.8253487156350756E-2</v>
      </c>
      <c r="E58" s="178">
        <f>Vykony!G34</f>
        <v>0</v>
      </c>
      <c r="F58" s="178">
        <f>Vykony!C34</f>
        <v>7.0380519543049969E-2</v>
      </c>
      <c r="G58" s="178">
        <f>Vykony!E34</f>
        <v>0.12981085913239862</v>
      </c>
    </row>
    <row r="59" spans="1:12">
      <c r="A59" s="142" t="s">
        <v>127</v>
      </c>
      <c r="B59" s="309">
        <v>25000</v>
      </c>
      <c r="C59" s="178">
        <f>Granty!Q21</f>
        <v>0.23097120993504147</v>
      </c>
      <c r="D59" s="178">
        <f>Vykony!I57</f>
        <v>7.0166205136602461E-2</v>
      </c>
      <c r="E59" s="178">
        <f>Vykony!G35</f>
        <v>0</v>
      </c>
      <c r="F59" s="178">
        <f>Vykony!C35</f>
        <v>4.899422008880254E-2</v>
      </c>
      <c r="G59" s="178">
        <f>Vykony!E35</f>
        <v>9.1261252783789715E-2</v>
      </c>
    </row>
    <row r="60" spans="1:12">
      <c r="A60" s="142" t="s">
        <v>128</v>
      </c>
      <c r="B60" s="309">
        <v>25000</v>
      </c>
      <c r="C60" s="178">
        <f>Granty!Q22</f>
        <v>2.9739340369513197E-2</v>
      </c>
      <c r="D60" s="178">
        <f>Vykony!I58</f>
        <v>0.13697352892169926</v>
      </c>
      <c r="E60" s="178">
        <f>Vykony!G36</f>
        <v>0</v>
      </c>
      <c r="F60" s="178">
        <f>Vykony!C36</f>
        <v>0.12998059406852577</v>
      </c>
      <c r="G60" s="178">
        <f>Vykony!E36</f>
        <v>0.22068787051849062</v>
      </c>
    </row>
    <row r="61" spans="1:12">
      <c r="A61" s="142" t="s">
        <v>664</v>
      </c>
      <c r="B61" s="309">
        <v>15000</v>
      </c>
      <c r="C61" s="178">
        <f>Granty!Q23</f>
        <v>4.2555966838414517E-3</v>
      </c>
      <c r="D61" s="178">
        <f>Vykony!I59</f>
        <v>5.3497029477834268E-3</v>
      </c>
      <c r="E61" s="178">
        <f>Vykony!G37</f>
        <v>0</v>
      </c>
      <c r="F61" s="178">
        <f>Vykony!C37</f>
        <v>4.9125686377538514E-3</v>
      </c>
      <c r="G61" s="178">
        <f>Vykony!E37</f>
        <v>7.731877921018788E-3</v>
      </c>
    </row>
    <row r="62" spans="1:12" ht="16.5" thickBot="1">
      <c r="A62" s="142" t="s">
        <v>150</v>
      </c>
      <c r="B62" s="309">
        <f>SUM(B56:B61)</f>
        <v>140000</v>
      </c>
      <c r="C62" s="178">
        <f t="shared" ref="C62:G62" si="0">SUM(C56:C61)</f>
        <v>1</v>
      </c>
      <c r="D62" s="178">
        <f t="shared" si="0"/>
        <v>1</v>
      </c>
      <c r="E62" s="178">
        <f t="shared" si="0"/>
        <v>1</v>
      </c>
      <c r="F62" s="178">
        <f t="shared" si="0"/>
        <v>0.99999999999999989</v>
      </c>
      <c r="G62" s="178">
        <f t="shared" si="0"/>
        <v>1</v>
      </c>
      <c r="I62" s="368"/>
      <c r="J62" s="368"/>
      <c r="K62" s="368"/>
      <c r="L62" s="368"/>
    </row>
    <row r="63" spans="1:12" ht="33" thickTop="1" thickBot="1">
      <c r="A63" s="442" t="s">
        <v>270</v>
      </c>
      <c r="B63" s="442"/>
      <c r="C63" s="442"/>
      <c r="D63" s="442"/>
      <c r="E63" s="442"/>
      <c r="F63" s="442"/>
      <c r="G63" s="404"/>
      <c r="H63" s="360" t="s">
        <v>150</v>
      </c>
      <c r="I63" s="369">
        <v>2023</v>
      </c>
      <c r="J63" s="376" t="s">
        <v>719</v>
      </c>
      <c r="K63" s="368"/>
      <c r="L63" s="368"/>
    </row>
    <row r="64" spans="1:12" ht="17.25" thickTop="1" thickBot="1">
      <c r="A64" s="142" t="s">
        <v>124</v>
      </c>
      <c r="B64" s="309">
        <f>B56</f>
        <v>25000</v>
      </c>
      <c r="C64" s="160">
        <f t="shared" ref="C64:C69" si="1">C56*$E$46</f>
        <v>2342.0807543275282</v>
      </c>
      <c r="D64" s="160">
        <f t="shared" ref="D64:D69" si="2">D56*$E$47</f>
        <v>10600.825020527407</v>
      </c>
      <c r="E64" s="160">
        <f t="shared" ref="E64:E69" si="3">E56*$E$48</f>
        <v>36428.732354193227</v>
      </c>
      <c r="F64" s="160">
        <f t="shared" ref="F64:F69" si="4">F56*$E$49</f>
        <v>71077.710716716043</v>
      </c>
      <c r="G64" s="160">
        <f t="shared" ref="G64:G69" si="5">G56*$E$52</f>
        <v>58853.227119544958</v>
      </c>
      <c r="H64" s="361">
        <f t="shared" ref="H64:H69" si="6">SUM(B64:G64)</f>
        <v>204302.57596530917</v>
      </c>
      <c r="I64" s="370">
        <v>307006</v>
      </c>
      <c r="J64" s="375">
        <v>500000</v>
      </c>
      <c r="K64" s="368"/>
      <c r="L64" s="368"/>
    </row>
    <row r="65" spans="1:12" ht="17.25" thickTop="1" thickBot="1">
      <c r="A65" s="142" t="s">
        <v>125</v>
      </c>
      <c r="B65" s="309">
        <f t="shared" ref="B65:B69" si="7">B57</f>
        <v>25000</v>
      </c>
      <c r="C65" s="160">
        <f t="shared" si="1"/>
        <v>1982.9064936244679</v>
      </c>
      <c r="D65" s="160">
        <f t="shared" si="2"/>
        <v>1683.6293057585017</v>
      </c>
      <c r="E65" s="160">
        <f t="shared" si="3"/>
        <v>20362.940573938296</v>
      </c>
      <c r="F65" s="160">
        <f t="shared" si="4"/>
        <v>22140.711143204597</v>
      </c>
      <c r="G65" s="160">
        <f t="shared" si="5"/>
        <v>32978.056296916082</v>
      </c>
      <c r="H65" s="361">
        <f t="shared" si="6"/>
        <v>104148.24381344195</v>
      </c>
      <c r="I65" s="370">
        <v>236000</v>
      </c>
      <c r="J65" s="370">
        <v>500000</v>
      </c>
      <c r="K65" s="371">
        <v>800000</v>
      </c>
      <c r="L65" s="372" t="s">
        <v>712</v>
      </c>
    </row>
    <row r="66" spans="1:12" ht="17.25" thickTop="1" thickBot="1">
      <c r="A66" s="142" t="s">
        <v>126</v>
      </c>
      <c r="B66" s="309">
        <f t="shared" si="7"/>
        <v>25000</v>
      </c>
      <c r="C66" s="160">
        <f t="shared" si="1"/>
        <v>0</v>
      </c>
      <c r="D66" s="160">
        <f t="shared" si="2"/>
        <v>801.84252329897561</v>
      </c>
      <c r="E66" s="160">
        <f t="shared" si="3"/>
        <v>0</v>
      </c>
      <c r="F66" s="160">
        <f t="shared" si="4"/>
        <v>8797.745171563236</v>
      </c>
      <c r="G66" s="160">
        <f t="shared" si="5"/>
        <v>21653.990081279942</v>
      </c>
      <c r="H66" s="361">
        <f t="shared" si="6"/>
        <v>56253.577776142149</v>
      </c>
      <c r="I66" s="370">
        <v>68000</v>
      </c>
      <c r="J66" s="370">
        <v>120000</v>
      </c>
      <c r="K66" s="372" t="s">
        <v>713</v>
      </c>
      <c r="L66" s="368"/>
    </row>
    <row r="67" spans="1:12" ht="17.25" thickTop="1" thickBot="1">
      <c r="A67" s="142" t="s">
        <v>127</v>
      </c>
      <c r="B67" s="309">
        <f t="shared" si="7"/>
        <v>25000</v>
      </c>
      <c r="C67" s="160">
        <f t="shared" si="1"/>
        <v>1359.0497002555442</v>
      </c>
      <c r="D67" s="160">
        <f t="shared" si="2"/>
        <v>1165.972664208623</v>
      </c>
      <c r="E67" s="160">
        <f t="shared" si="3"/>
        <v>0</v>
      </c>
      <c r="F67" s="160">
        <f t="shared" si="4"/>
        <v>6124.4029742791781</v>
      </c>
      <c r="G67" s="160">
        <f t="shared" si="5"/>
        <v>15223.458775277029</v>
      </c>
      <c r="H67" s="361">
        <f t="shared" si="6"/>
        <v>48872.88411402038</v>
      </c>
      <c r="I67" s="370">
        <v>56000</v>
      </c>
      <c r="J67" s="370">
        <v>120000</v>
      </c>
      <c r="K67" s="368"/>
      <c r="L67" s="368"/>
    </row>
    <row r="68" spans="1:12" ht="17.25" thickTop="1" thickBot="1">
      <c r="A68" s="142" t="s">
        <v>128</v>
      </c>
      <c r="B68" s="309">
        <f t="shared" si="7"/>
        <v>25000</v>
      </c>
      <c r="C68" s="160">
        <f t="shared" si="1"/>
        <v>174.98822310517181</v>
      </c>
      <c r="D68" s="160">
        <f t="shared" si="2"/>
        <v>2276.1297996943913</v>
      </c>
      <c r="E68" s="160">
        <f t="shared" si="3"/>
        <v>0</v>
      </c>
      <c r="F68" s="160">
        <f t="shared" si="4"/>
        <v>16247.907109634531</v>
      </c>
      <c r="G68" s="160">
        <f t="shared" si="5"/>
        <v>36813.352836623249</v>
      </c>
      <c r="H68" s="361">
        <f t="shared" si="6"/>
        <v>80512.377969057343</v>
      </c>
      <c r="I68" s="370"/>
      <c r="J68" s="370">
        <v>120000</v>
      </c>
      <c r="K68" s="372" t="s">
        <v>713</v>
      </c>
      <c r="L68" s="368"/>
    </row>
    <row r="69" spans="1:12" ht="17.25" thickTop="1" thickBot="1">
      <c r="A69" s="142" t="s">
        <v>664</v>
      </c>
      <c r="B69" s="309">
        <f t="shared" si="7"/>
        <v>15000</v>
      </c>
      <c r="C69" s="160">
        <f t="shared" si="1"/>
        <v>25.040209120477776</v>
      </c>
      <c r="D69" s="160">
        <f t="shared" si="2"/>
        <v>88.897602294553835</v>
      </c>
      <c r="E69" s="160">
        <f t="shared" si="3"/>
        <v>0</v>
      </c>
      <c r="F69" s="160">
        <f t="shared" si="4"/>
        <v>614.08365970267732</v>
      </c>
      <c r="G69" s="160">
        <f t="shared" si="5"/>
        <v>1289.76889091108</v>
      </c>
      <c r="H69" s="361">
        <f t="shared" si="6"/>
        <v>17017.790362028787</v>
      </c>
      <c r="I69" s="370"/>
      <c r="J69" s="370">
        <v>120000</v>
      </c>
      <c r="K69" s="368"/>
      <c r="L69" s="368"/>
    </row>
    <row r="70" spans="1:12" ht="17.25" thickTop="1" thickBot="1">
      <c r="A70" s="142" t="s">
        <v>150</v>
      </c>
      <c r="B70" s="170">
        <f t="shared" ref="B70:H70" si="8">SUM(B64:B69)</f>
        <v>140000</v>
      </c>
      <c r="C70" s="170">
        <f t="shared" si="8"/>
        <v>5884.0653804331896</v>
      </c>
      <c r="D70" s="170">
        <f t="shared" si="8"/>
        <v>16617.296915782452</v>
      </c>
      <c r="E70" s="170">
        <f t="shared" si="8"/>
        <v>56791.67292813152</v>
      </c>
      <c r="F70" s="170">
        <f t="shared" si="8"/>
        <v>125002.56077510025</v>
      </c>
      <c r="G70" s="170">
        <f t="shared" si="8"/>
        <v>166811.85400055232</v>
      </c>
      <c r="H70" s="362">
        <f t="shared" si="8"/>
        <v>511107.44999999984</v>
      </c>
      <c r="I70" s="370"/>
      <c r="J70" s="373">
        <f>SUM(J64:J69)</f>
        <v>1480000</v>
      </c>
      <c r="K70" s="368"/>
      <c r="L70" s="368"/>
    </row>
    <row r="71" spans="1:12" ht="16.5" thickTop="1"/>
  </sheetData>
  <mergeCells count="51">
    <mergeCell ref="A10:D10"/>
    <mergeCell ref="A31:D31"/>
    <mergeCell ref="A25:D25"/>
    <mergeCell ref="A26:D26"/>
    <mergeCell ref="A27:D27"/>
    <mergeCell ref="A28:D28"/>
    <mergeCell ref="A29:D29"/>
    <mergeCell ref="A23:D23"/>
    <mergeCell ref="A14:D14"/>
    <mergeCell ref="A17:D17"/>
    <mergeCell ref="A12:D12"/>
    <mergeCell ref="A11:D11"/>
    <mergeCell ref="A21:D21"/>
    <mergeCell ref="A22:D22"/>
    <mergeCell ref="A15:D15"/>
    <mergeCell ref="A16:D16"/>
    <mergeCell ref="A9:D9"/>
    <mergeCell ref="A1:D1"/>
    <mergeCell ref="A2:D2"/>
    <mergeCell ref="A5:D5"/>
    <mergeCell ref="A3:D3"/>
    <mergeCell ref="A8:D8"/>
    <mergeCell ref="A7:D7"/>
    <mergeCell ref="A6:D6"/>
    <mergeCell ref="A4:D4"/>
    <mergeCell ref="A63:G63"/>
    <mergeCell ref="A46:D46"/>
    <mergeCell ref="A45:D45"/>
    <mergeCell ref="A48:D48"/>
    <mergeCell ref="A49:D49"/>
    <mergeCell ref="A47:D47"/>
    <mergeCell ref="A54:D54"/>
    <mergeCell ref="A51:D51"/>
    <mergeCell ref="A52:D52"/>
    <mergeCell ref="A50:D50"/>
    <mergeCell ref="A42:D42"/>
    <mergeCell ref="A33:D33"/>
    <mergeCell ref="A32:D32"/>
    <mergeCell ref="A18:D18"/>
    <mergeCell ref="A19:D19"/>
    <mergeCell ref="A20:D20"/>
    <mergeCell ref="A38:D38"/>
    <mergeCell ref="A39:D39"/>
    <mergeCell ref="A40:D40"/>
    <mergeCell ref="A34:D34"/>
    <mergeCell ref="A35:D35"/>
    <mergeCell ref="A36:D36"/>
    <mergeCell ref="A37:D37"/>
    <mergeCell ref="A41:D41"/>
    <mergeCell ref="A30:D30"/>
    <mergeCell ref="A24:D24"/>
  </mergeCells>
  <conditionalFormatting sqref="E17">
    <cfRule type="cellIs" dxfId="24" priority="1" operator="notEqual">
      <formula>$G17</formula>
    </cfRule>
  </conditionalFormatting>
  <pageMargins left="0.31496062992125984" right="0.31496062992125984" top="0.74803149606299213" bottom="0.55118110236220474" header="0.31496062992125984" footer="0.31496062992125984"/>
  <pageSetup paperSize="9" scale="92" fitToHeight="2" orientation="landscape" r:id="rId1"/>
  <headerFooter scaleWithDoc="0">
    <oddHeader>&amp;R&amp;A</oddHeader>
  </headerFooter>
  <rowBreaks count="2" manualBreakCount="2">
    <brk id="43" max="16383" man="1"/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6"/>
  <sheetViews>
    <sheetView zoomScale="130" zoomScaleNormal="130" workbookViewId="0">
      <selection activeCell="A18" sqref="A18:I20"/>
    </sheetView>
  </sheetViews>
  <sheetFormatPr defaultColWidth="14.28515625" defaultRowHeight="15.75"/>
  <cols>
    <col min="1" max="4" width="14.28515625" style="4"/>
    <col min="5" max="5" width="14.42578125" style="4" bestFit="1" customWidth="1"/>
    <col min="6" max="6" width="14.28515625" style="4"/>
    <col min="7" max="8" width="14.42578125" style="4" bestFit="1" customWidth="1"/>
    <col min="9" max="16384" width="14.28515625" style="4"/>
  </cols>
  <sheetData>
    <row r="1" spans="1:8">
      <c r="A1" s="444" t="s">
        <v>271</v>
      </c>
      <c r="B1" s="444"/>
      <c r="C1" s="444"/>
      <c r="D1" s="444"/>
      <c r="E1" s="1"/>
      <c r="F1" s="1"/>
    </row>
    <row r="2" spans="1:8">
      <c r="A2" s="423" t="s">
        <v>557</v>
      </c>
      <c r="B2" s="423"/>
      <c r="C2" s="423"/>
      <c r="D2" s="423"/>
      <c r="E2" s="160">
        <f>VstupySR!B15-VstupySR!B19</f>
        <v>14695328</v>
      </c>
      <c r="F2" s="122"/>
      <c r="H2" s="26">
        <f>E2+E4</f>
        <v>14695328</v>
      </c>
    </row>
    <row r="3" spans="1:8">
      <c r="A3" s="461" t="s">
        <v>693</v>
      </c>
      <c r="B3" s="462"/>
      <c r="C3" s="462"/>
      <c r="D3" s="463"/>
      <c r="E3" s="160">
        <f>VstupySR!B18</f>
        <v>1535810</v>
      </c>
      <c r="F3" s="122"/>
      <c r="H3" s="26"/>
    </row>
    <row r="4" spans="1:8">
      <c r="A4" s="458" t="str">
        <f>"Zvýšenie o úpravu bežnej dotácie z dec. "&amp;Rok-1</f>
        <v>Zvýšenie o úpravu bežnej dotácie z dec. 2023</v>
      </c>
      <c r="B4" s="459"/>
      <c r="C4" s="459"/>
      <c r="D4" s="460"/>
      <c r="E4" s="194">
        <f>VstupyUPJS!B28</f>
        <v>0</v>
      </c>
      <c r="F4" s="122"/>
      <c r="H4" s="26"/>
    </row>
    <row r="5" spans="1:8">
      <c r="A5" s="423" t="s">
        <v>272</v>
      </c>
      <c r="B5" s="423"/>
      <c r="C5" s="423"/>
      <c r="D5" s="423"/>
      <c r="E5" s="160"/>
      <c r="F5" s="122"/>
    </row>
    <row r="6" spans="1:8">
      <c r="A6" s="423" t="s">
        <v>273</v>
      </c>
      <c r="B6" s="423"/>
      <c r="C6" s="423"/>
      <c r="D6" s="423"/>
      <c r="E6" s="160">
        <f>VstupyUPJS!B24+VstupyUPJS!B25</f>
        <v>3261100.5</v>
      </c>
      <c r="F6" s="122"/>
      <c r="H6" s="51">
        <f>E6/H$2</f>
        <v>0.22191410086253263</v>
      </c>
    </row>
    <row r="7" spans="1:8">
      <c r="A7" s="423" t="s">
        <v>274</v>
      </c>
      <c r="B7" s="423"/>
      <c r="C7" s="423"/>
      <c r="D7" s="423"/>
      <c r="E7" s="160">
        <f>VstupyUPJS!B16</f>
        <v>500000</v>
      </c>
      <c r="F7" s="122"/>
      <c r="H7" s="51">
        <f>E7/H$2</f>
        <v>3.4024419189554664E-2</v>
      </c>
    </row>
    <row r="8" spans="1:8">
      <c r="A8" s="423" t="s">
        <v>275</v>
      </c>
      <c r="B8" s="423"/>
      <c r="C8" s="423"/>
      <c r="D8" s="423"/>
      <c r="E8" s="160">
        <f>SUM(E2:E4)-SUM(E6:E7)</f>
        <v>12470037.5</v>
      </c>
      <c r="F8" s="122"/>
    </row>
    <row r="9" spans="1:8">
      <c r="A9" s="423" t="s">
        <v>276</v>
      </c>
      <c r="B9" s="423"/>
      <c r="C9" s="423"/>
      <c r="D9" s="423"/>
      <c r="E9" s="151">
        <f>ROUND(E8/1.362,0)</f>
        <v>9155681</v>
      </c>
      <c r="F9" s="122"/>
    </row>
    <row r="10" spans="1:8">
      <c r="A10" s="457" t="s">
        <v>173</v>
      </c>
      <c r="B10" s="457"/>
      <c r="C10" s="457"/>
      <c r="D10" s="457"/>
      <c r="E10" s="116">
        <f>ROUND(E$9*F10,0)</f>
        <v>274670</v>
      </c>
      <c r="F10" s="117">
        <f>VstupyUPJS!B32</f>
        <v>0.03</v>
      </c>
      <c r="H10" s="51">
        <f>E10*1.352/H$2</f>
        <v>2.5270197439621628E-2</v>
      </c>
    </row>
    <row r="11" spans="1:8">
      <c r="A11" s="425" t="s">
        <v>122</v>
      </c>
      <c r="B11" s="425"/>
      <c r="C11" s="425"/>
      <c r="D11" s="425"/>
      <c r="E11" s="176">
        <f>ROUND(E$9*F11,0)</f>
        <v>1190239</v>
      </c>
      <c r="F11" s="156">
        <f>VstupyUPJS!B31</f>
        <v>0.13</v>
      </c>
      <c r="G11" s="184" t="s">
        <v>277</v>
      </c>
      <c r="H11" s="51">
        <f>E11*1.352/H$2</f>
        <v>0.1095044035764292</v>
      </c>
    </row>
    <row r="12" spans="1:8">
      <c r="A12" s="423" t="s">
        <v>225</v>
      </c>
      <c r="B12" s="423"/>
      <c r="C12" s="423"/>
      <c r="D12" s="423"/>
      <c r="E12" s="151">
        <f>E9-E10-E11</f>
        <v>7690772</v>
      </c>
      <c r="F12" s="123" t="s">
        <v>50</v>
      </c>
      <c r="G12" s="185">
        <f>SUM(G13:G22)</f>
        <v>14695328.034674557</v>
      </c>
      <c r="H12" s="51">
        <f>E12*1.352/H$2</f>
        <v>0.70756663233375949</v>
      </c>
    </row>
    <row r="13" spans="1:8">
      <c r="A13" s="455" t="s">
        <v>669</v>
      </c>
      <c r="B13" s="455"/>
      <c r="C13" s="455"/>
      <c r="D13" s="455"/>
      <c r="E13" s="306">
        <f>E$12*F13</f>
        <v>0</v>
      </c>
      <c r="F13" s="186">
        <f>(H13+H14)*VstupyUPJS!B27</f>
        <v>0</v>
      </c>
      <c r="G13" s="151">
        <f>VstupySR!B52</f>
        <v>0</v>
      </c>
      <c r="H13" s="51">
        <f>G13/G$12</f>
        <v>0</v>
      </c>
    </row>
    <row r="14" spans="1:8">
      <c r="A14" s="456" t="s">
        <v>646</v>
      </c>
      <c r="B14" s="456"/>
      <c r="C14" s="456"/>
      <c r="D14" s="456"/>
      <c r="E14" s="151">
        <f>E$12*F14</f>
        <v>3731128.6325840009</v>
      </c>
      <c r="F14" s="186">
        <f>H14+H13-F13</f>
        <v>0.48514357629949256</v>
      </c>
      <c r="G14" s="151">
        <f>VstupySR!B53</f>
        <v>7129343.9976362083</v>
      </c>
      <c r="H14" s="51">
        <f>G14/G$12</f>
        <v>0.48514357629949256</v>
      </c>
    </row>
    <row r="15" spans="1:8">
      <c r="A15" s="455" t="s">
        <v>560</v>
      </c>
      <c r="B15" s="455"/>
      <c r="C15" s="455"/>
      <c r="D15" s="455"/>
      <c r="E15" s="151">
        <f t="shared" ref="E15:E20" si="0">E$12*F15</f>
        <v>103206.33863424933</v>
      </c>
      <c r="F15" s="186">
        <f t="shared" ref="F15:F20" si="1">G15/G$12</f>
        <v>1.3419503092049709E-2</v>
      </c>
      <c r="G15" s="151">
        <f>VstupySR!B50</f>
        <v>197204</v>
      </c>
    </row>
    <row r="16" spans="1:8">
      <c r="A16" s="445" t="s">
        <v>278</v>
      </c>
      <c r="B16" s="446"/>
      <c r="C16" s="446"/>
      <c r="D16" s="447"/>
      <c r="E16" s="151">
        <f t="shared" si="0"/>
        <v>605453.5650341236</v>
      </c>
      <c r="F16" s="186">
        <f t="shared" si="1"/>
        <v>7.8724680049561166E-2</v>
      </c>
      <c r="G16" s="151">
        <f>VstupySR!B54</f>
        <v>1156884.9977531009</v>
      </c>
    </row>
    <row r="17" spans="1:11">
      <c r="A17" s="445" t="s">
        <v>279</v>
      </c>
      <c r="B17" s="446"/>
      <c r="C17" s="446"/>
      <c r="D17" s="447"/>
      <c r="E17" s="151">
        <f t="shared" si="0"/>
        <v>56131.864084022811</v>
      </c>
      <c r="F17" s="186">
        <f t="shared" si="1"/>
        <v>7.2985994233118355E-3</v>
      </c>
      <c r="G17" s="151">
        <f>VstupySR!B55</f>
        <v>107255.31271925397</v>
      </c>
    </row>
    <row r="18" spans="1:11">
      <c r="A18" s="445" t="s">
        <v>280</v>
      </c>
      <c r="B18" s="446"/>
      <c r="C18" s="446"/>
      <c r="D18" s="447"/>
      <c r="E18" s="151">
        <f t="shared" si="0"/>
        <v>341027.69014955411</v>
      </c>
      <c r="F18" s="186">
        <f t="shared" si="1"/>
        <v>4.4342452246608544E-2</v>
      </c>
      <c r="G18" s="151">
        <f>VstupySR!B56</f>
        <v>651626.88162580435</v>
      </c>
    </row>
    <row r="19" spans="1:11">
      <c r="A19" s="445" t="s">
        <v>281</v>
      </c>
      <c r="B19" s="446"/>
      <c r="C19" s="446"/>
      <c r="D19" s="447"/>
      <c r="E19" s="151">
        <f t="shared" si="0"/>
        <v>804843.46884386777</v>
      </c>
      <c r="F19" s="186">
        <f t="shared" si="1"/>
        <v>0.10465054338418403</v>
      </c>
      <c r="G19" s="151">
        <f>VstupySR!B57</f>
        <v>1537874.0640375256</v>
      </c>
    </row>
    <row r="20" spans="1:11">
      <c r="A20" s="445" t="s">
        <v>282</v>
      </c>
      <c r="B20" s="446"/>
      <c r="C20" s="446"/>
      <c r="D20" s="447"/>
      <c r="E20" s="151">
        <f t="shared" si="0"/>
        <v>1777946.3476715963</v>
      </c>
      <c r="F20" s="186">
        <f t="shared" si="1"/>
        <v>0.23117917780836519</v>
      </c>
      <c r="G20" s="151">
        <f>VstupySR!B58</f>
        <v>3397253.8526802831</v>
      </c>
    </row>
    <row r="21" spans="1:11">
      <c r="A21" s="445" t="s">
        <v>283</v>
      </c>
      <c r="B21" s="446"/>
      <c r="C21" s="446"/>
      <c r="D21" s="447"/>
      <c r="E21" s="151">
        <f>E$12*F21</f>
        <v>1203.1397163084296</v>
      </c>
      <c r="F21" s="186">
        <f>G21/G$12</f>
        <v>1.5643939468084993E-4</v>
      </c>
      <c r="G21" s="151">
        <f>VstupySR!B59</f>
        <v>2298.9282223810119</v>
      </c>
    </row>
    <row r="22" spans="1:11">
      <c r="A22" s="429" t="s">
        <v>562</v>
      </c>
      <c r="B22" s="430"/>
      <c r="C22" s="430"/>
      <c r="D22" s="431"/>
      <c r="E22" s="151">
        <f>E$12*F22</f>
        <v>269830.95328227658</v>
      </c>
      <c r="F22" s="186">
        <f>G22/G$12</f>
        <v>3.5085028301746118E-2</v>
      </c>
      <c r="G22" s="151">
        <f>VstupySR!B51</f>
        <v>515586</v>
      </c>
    </row>
    <row r="24" spans="1:11">
      <c r="A24" s="395" t="s">
        <v>284</v>
      </c>
      <c r="B24" s="395"/>
      <c r="C24" s="395"/>
      <c r="D24" s="395"/>
    </row>
    <row r="25" spans="1:11" s="85" customFormat="1">
      <c r="A25" s="83"/>
      <c r="B25" s="84">
        <f>F14</f>
        <v>0.48514357629949256</v>
      </c>
      <c r="C25" s="84">
        <f>F15</f>
        <v>1.3419503092049709E-2</v>
      </c>
      <c r="D25" s="84">
        <f>F16</f>
        <v>7.8724680049561166E-2</v>
      </c>
      <c r="E25" s="84">
        <f>F17</f>
        <v>7.2985994233118355E-3</v>
      </c>
      <c r="F25" s="84">
        <f>F18</f>
        <v>4.4342452246608544E-2</v>
      </c>
      <c r="G25" s="84">
        <f>F19</f>
        <v>0.10465054338418403</v>
      </c>
      <c r="H25" s="84">
        <f>F20</f>
        <v>0.23117917780836519</v>
      </c>
      <c r="I25" s="84">
        <f>F21</f>
        <v>1.5643939468084993E-4</v>
      </c>
      <c r="K25" s="84"/>
    </row>
    <row r="26" spans="1:11" ht="47.25">
      <c r="A26" s="166" t="s">
        <v>141</v>
      </c>
      <c r="B26" s="166" t="s">
        <v>558</v>
      </c>
      <c r="C26" s="166" t="s">
        <v>285</v>
      </c>
      <c r="D26" s="166" t="s">
        <v>286</v>
      </c>
      <c r="E26" s="166" t="s">
        <v>287</v>
      </c>
      <c r="F26" s="166" t="s">
        <v>288</v>
      </c>
      <c r="G26" s="166" t="s">
        <v>289</v>
      </c>
      <c r="H26" s="166" t="s">
        <v>290</v>
      </c>
      <c r="I26" s="166" t="s">
        <v>291</v>
      </c>
      <c r="J26" s="175" t="s">
        <v>50</v>
      </c>
      <c r="K26" s="166" t="s">
        <v>559</v>
      </c>
    </row>
    <row r="27" spans="1:11">
      <c r="A27" s="187" t="s">
        <v>124</v>
      </c>
      <c r="B27" s="188">
        <f>'VER-22'!C29</f>
        <v>0.42767221639701963</v>
      </c>
      <c r="C27" s="188">
        <f>Excelentne!J3</f>
        <v>0</v>
      </c>
      <c r="D27" s="188">
        <f>Granty!R4</f>
        <v>0.34697478886252203</v>
      </c>
      <c r="E27" s="188">
        <f>Granty!F32</f>
        <v>0.49254759654539781</v>
      </c>
      <c r="F27" s="188">
        <f>Granty!F18</f>
        <v>0.24057048386053267</v>
      </c>
      <c r="G27" s="189">
        <f>Vykony!C66</f>
        <v>0.25259336099585061</v>
      </c>
      <c r="H27" s="189">
        <f>Vykony!K17</f>
        <v>0.30092262798853947</v>
      </c>
      <c r="I27" s="189">
        <f>Vykony!C17</f>
        <v>0</v>
      </c>
      <c r="J27" s="190">
        <f t="shared" ref="J27:J33" si="2">SUMPRODUCT(B27:I27,B$25:I$25)</f>
        <v>0.34506137878765192</v>
      </c>
      <c r="K27" s="188">
        <f>C27</f>
        <v>0</v>
      </c>
    </row>
    <row r="28" spans="1:11">
      <c r="A28" s="187" t="s">
        <v>125</v>
      </c>
      <c r="B28" s="188">
        <f>'VER-22'!C30</f>
        <v>0.36089089667832802</v>
      </c>
      <c r="C28" s="188">
        <f>Excelentne!J4</f>
        <v>0.99230488643218895</v>
      </c>
      <c r="D28" s="188">
        <f>Granty!R5</f>
        <v>0.37253730600418422</v>
      </c>
      <c r="E28" s="188">
        <f>Granty!F33</f>
        <v>0.31937356107936737</v>
      </c>
      <c r="F28" s="188">
        <f>Granty!F19</f>
        <v>0.41053510592072212</v>
      </c>
      <c r="G28" s="189">
        <f>Vykony!C67</f>
        <v>0.47251037344398339</v>
      </c>
      <c r="H28" s="189">
        <f>Vykony!K18</f>
        <v>0.54623912837614397</v>
      </c>
      <c r="I28" s="189">
        <f>Vykony!C18</f>
        <v>0</v>
      </c>
      <c r="J28" s="190">
        <f t="shared" si="2"/>
        <v>0.41399071192078485</v>
      </c>
      <c r="K28" s="188">
        <f t="shared" ref="K28:K33" si="3">C28</f>
        <v>0.99230488643218895</v>
      </c>
    </row>
    <row r="29" spans="1:11">
      <c r="A29" s="187" t="s">
        <v>126</v>
      </c>
      <c r="B29" s="188">
        <f>'VER-22'!C31</f>
        <v>4.2415096311830165E-2</v>
      </c>
      <c r="C29" s="188">
        <f>Excelentne!J5</f>
        <v>0</v>
      </c>
      <c r="D29" s="188">
        <f>Granty!R6</f>
        <v>0.10296268557029244</v>
      </c>
      <c r="E29" s="188">
        <f>Granty!F34</f>
        <v>0</v>
      </c>
      <c r="F29" s="188">
        <f>Granty!F20</f>
        <v>1.3156118219168926E-2</v>
      </c>
      <c r="G29" s="189">
        <f>Vykony!C68</f>
        <v>7.8319502074688796E-2</v>
      </c>
      <c r="H29" s="189">
        <f>Vykony!K19</f>
        <v>1.8036128495114736E-2</v>
      </c>
      <c r="I29" s="189">
        <f>Vykony!C19</f>
        <v>0</v>
      </c>
      <c r="J29" s="190">
        <f t="shared" si="2"/>
        <v>4.1632246342299346E-2</v>
      </c>
      <c r="K29" s="188">
        <f t="shared" si="3"/>
        <v>0</v>
      </c>
    </row>
    <row r="30" spans="1:11">
      <c r="A30" s="187" t="s">
        <v>127</v>
      </c>
      <c r="B30" s="188">
        <f>'VER-22'!C32</f>
        <v>1.5091085480219897E-2</v>
      </c>
      <c r="C30" s="188">
        <f>Excelentne!J6</f>
        <v>0</v>
      </c>
      <c r="D30" s="188">
        <f>Granty!R7</f>
        <v>6.5400102809984586E-3</v>
      </c>
      <c r="E30" s="188">
        <f>Granty!F35</f>
        <v>0</v>
      </c>
      <c r="F30" s="188">
        <f>Granty!F21</f>
        <v>1.8967268999480163E-3</v>
      </c>
      <c r="G30" s="189">
        <f>Vykony!C69</f>
        <v>2.5414937759336099E-2</v>
      </c>
      <c r="H30" s="189">
        <f>Vykony!K20</f>
        <v>8.2140279083723015E-3</v>
      </c>
      <c r="I30" s="189">
        <f>Vykony!C20</f>
        <v>0</v>
      </c>
      <c r="J30" s="190">
        <f t="shared" si="2"/>
        <v>1.2478908183935686E-2</v>
      </c>
      <c r="K30" s="188">
        <f t="shared" si="3"/>
        <v>0</v>
      </c>
    </row>
    <row r="31" spans="1:11">
      <c r="A31" s="187" t="s">
        <v>128</v>
      </c>
      <c r="B31" s="188">
        <f>'VER-22'!C33</f>
        <v>0.15393070513260229</v>
      </c>
      <c r="C31" s="188">
        <f>Excelentne!J7</f>
        <v>5.7029419604652139E-3</v>
      </c>
      <c r="D31" s="188">
        <f>Granty!R8</f>
        <v>0.10376208732465379</v>
      </c>
      <c r="E31" s="188">
        <f>Granty!F36</f>
        <v>1.5355910143697596E-2</v>
      </c>
      <c r="F31" s="188">
        <f>Granty!F22</f>
        <v>0.1049113726221217</v>
      </c>
      <c r="G31" s="189">
        <f>Vykony!C70</f>
        <v>0.17116182572614108</v>
      </c>
      <c r="H31" s="189">
        <f>Vykony!K21</f>
        <v>6.6935878479617655E-2</v>
      </c>
      <c r="I31" s="189">
        <f>Vykony!C21</f>
        <v>7.6023391812865507E-2</v>
      </c>
      <c r="J31" s="190">
        <f t="shared" si="2"/>
        <v>0.12108601720612049</v>
      </c>
      <c r="K31" s="188">
        <f t="shared" si="3"/>
        <v>5.7029419604652139E-3</v>
      </c>
    </row>
    <row r="32" spans="1:11">
      <c r="A32" s="187" t="s">
        <v>664</v>
      </c>
      <c r="B32" s="188">
        <f>'VER-22'!C34</f>
        <v>0</v>
      </c>
      <c r="C32" s="188">
        <f>Excelentne!J8</f>
        <v>0</v>
      </c>
      <c r="D32" s="188">
        <f>Granty!R9</f>
        <v>6.4307388685537633E-4</v>
      </c>
      <c r="E32" s="188">
        <f>Granty!F37</f>
        <v>0</v>
      </c>
      <c r="F32" s="188">
        <f>Granty!F23</f>
        <v>0</v>
      </c>
      <c r="G32" s="189"/>
      <c r="H32" s="189">
        <f>Vykony!K22</f>
        <v>8.0136011351425174E-3</v>
      </c>
      <c r="I32" s="189">
        <f>Vykony!C22</f>
        <v>0.92397660818713456</v>
      </c>
      <c r="J32" s="190">
        <f t="shared" si="2"/>
        <v>2.0477498489814066E-3</v>
      </c>
      <c r="K32" s="188">
        <f t="shared" si="3"/>
        <v>0</v>
      </c>
    </row>
    <row r="33" spans="1:11">
      <c r="A33" s="187" t="s">
        <v>130</v>
      </c>
      <c r="B33" s="188">
        <f>'VER-22'!C35</f>
        <v>0</v>
      </c>
      <c r="C33" s="188">
        <f>Excelentne!J9</f>
        <v>1.9921716073457822E-3</v>
      </c>
      <c r="D33" s="188">
        <f>Granty!R10</f>
        <v>6.658004807049378E-2</v>
      </c>
      <c r="E33" s="188">
        <f>Granty!F38</f>
        <v>0.1727229322315372</v>
      </c>
      <c r="F33" s="188">
        <f>Granty!F24</f>
        <v>0.22893019247750648</v>
      </c>
      <c r="G33" s="189"/>
      <c r="H33" s="189">
        <f>Vykony!K23</f>
        <v>5.1638607617069336E-2</v>
      </c>
      <c r="I33" s="189">
        <f>Vykony!C24</f>
        <v>0</v>
      </c>
      <c r="J33" s="190">
        <f t="shared" si="2"/>
        <v>2.8617959408480127E-2</v>
      </c>
      <c r="K33" s="188">
        <f t="shared" si="3"/>
        <v>1.9921716073457822E-3</v>
      </c>
    </row>
    <row r="34" spans="1:11">
      <c r="A34" s="187" t="s">
        <v>150</v>
      </c>
      <c r="B34" s="188">
        <f>SUM(B27:B33)</f>
        <v>1</v>
      </c>
      <c r="C34" s="188">
        <f>SUM(C27:C33)</f>
        <v>0.99999999999999989</v>
      </c>
      <c r="D34" s="188">
        <f t="shared" ref="D34:I34" si="4">SUM(D27:D33)</f>
        <v>1</v>
      </c>
      <c r="E34" s="188">
        <f t="shared" si="4"/>
        <v>1</v>
      </c>
      <c r="F34" s="188">
        <f t="shared" si="4"/>
        <v>0.99999999999999989</v>
      </c>
      <c r="G34" s="188">
        <f t="shared" si="4"/>
        <v>1</v>
      </c>
      <c r="H34" s="188">
        <f t="shared" si="4"/>
        <v>0.99999999999999989</v>
      </c>
      <c r="I34" s="188">
        <f t="shared" si="4"/>
        <v>1</v>
      </c>
      <c r="J34" s="190">
        <f>SUM(J27:J33)</f>
        <v>0.9649149716982538</v>
      </c>
      <c r="K34" s="188">
        <f>SUM(K27:K33)</f>
        <v>0.99999999999999989</v>
      </c>
    </row>
    <row r="35" spans="1:11">
      <c r="A35" s="12"/>
      <c r="B35" s="13"/>
      <c r="C35" s="13"/>
      <c r="D35" s="13"/>
      <c r="E35" s="13"/>
      <c r="F35" s="13"/>
      <c r="G35" s="13"/>
      <c r="H35" s="13"/>
    </row>
    <row r="36" spans="1:11">
      <c r="A36" s="395" t="s">
        <v>292</v>
      </c>
      <c r="B36" s="395"/>
      <c r="C36" s="395"/>
      <c r="D36" s="395"/>
    </row>
    <row r="37" spans="1:11" s="11" customFormat="1" ht="47.25">
      <c r="A37" s="166" t="s">
        <v>141</v>
      </c>
      <c r="B37" s="166" t="str">
        <f t="shared" ref="B37:I37" si="5">B26</f>
        <v>Podiel 
VER-22</v>
      </c>
      <c r="C37" s="166" t="str">
        <f t="shared" si="5"/>
        <v>Podiel Excelenté</v>
      </c>
      <c r="D37" s="166" t="str">
        <f t="shared" si="5"/>
        <v>Podiel 
DG</v>
      </c>
      <c r="E37" s="166" t="str">
        <f t="shared" si="5"/>
        <v>Podiel 
VČiS</v>
      </c>
      <c r="F37" s="166" t="str">
        <f t="shared" si="5"/>
        <v>Podiel 
ZG</v>
      </c>
      <c r="G37" s="166" t="str">
        <f t="shared" si="5"/>
        <v>Podiel 
Dokt</v>
      </c>
      <c r="H37" s="166" t="str">
        <f t="shared" si="5"/>
        <v>Podiel 
PČ</v>
      </c>
      <c r="I37" s="166" t="str">
        <f t="shared" si="5"/>
        <v>Podiel 
UČ</v>
      </c>
      <c r="J37" s="166" t="str">
        <f>K26</f>
        <v>Podiel 
Excelentné 07712 06</v>
      </c>
      <c r="K37" s="175" t="s">
        <v>561</v>
      </c>
    </row>
    <row r="38" spans="1:11">
      <c r="A38" s="187" t="s">
        <v>124</v>
      </c>
      <c r="B38" s="191">
        <f t="shared" ref="B38:B44" si="6">$E$14*B27</f>
        <v>1595700.0519595807</v>
      </c>
      <c r="C38" s="191">
        <f t="shared" ref="C38" si="7">$E$15*C27</f>
        <v>0</v>
      </c>
      <c r="D38" s="191">
        <f t="shared" ref="D38" si="8">$E$16*D27</f>
        <v>210077.12289377628</v>
      </c>
      <c r="E38" s="191">
        <f t="shared" ref="E38" si="9">$E$17*E27</f>
        <v>27647.614744198374</v>
      </c>
      <c r="F38" s="191">
        <f t="shared" ref="F38" si="10">$E$18*F27</f>
        <v>82041.196429118048</v>
      </c>
      <c r="G38" s="191">
        <f t="shared" ref="G38" si="11">$E$19*G27</f>
        <v>203298.11687083173</v>
      </c>
      <c r="H38" s="191">
        <f t="shared" ref="H38" si="12">$E$20*H27</f>
        <v>535024.28736396227</v>
      </c>
      <c r="I38" s="191">
        <f t="shared" ref="I38" si="13">$E$21*I27</f>
        <v>0</v>
      </c>
      <c r="J38" s="191">
        <f t="shared" ref="J38" si="14">$E$22*K27</f>
        <v>0</v>
      </c>
      <c r="K38" s="192">
        <f>ROUND(SUM(B38:J38),0)</f>
        <v>2653788</v>
      </c>
    </row>
    <row r="39" spans="1:11">
      <c r="A39" s="187" t="s">
        <v>125</v>
      </c>
      <c r="B39" s="191">
        <f t="shared" si="6"/>
        <v>1346530.3578354239</v>
      </c>
      <c r="C39" s="191">
        <f t="shared" ref="C39:C44" si="15">$E$15*C28</f>
        <v>102412.15413754081</v>
      </c>
      <c r="D39" s="191">
        <f t="shared" ref="D39:D44" si="16">$E$16*D28</f>
        <v>225554.04002844155</v>
      </c>
      <c r="E39" s="191">
        <f t="shared" ref="E39:E44" si="17">$E$17*E28</f>
        <v>17927.033322537405</v>
      </c>
      <c r="F39" s="191">
        <f t="shared" ref="F39:F44" si="18">$E$18*F28</f>
        <v>140003.8388974464</v>
      </c>
      <c r="G39" s="191">
        <f t="shared" ref="G39:G44" si="19">$E$19*G28</f>
        <v>380296.88802736695</v>
      </c>
      <c r="H39" s="191">
        <f t="shared" ref="H39:H44" si="20">$E$20*H28</f>
        <v>971183.86325168144</v>
      </c>
      <c r="I39" s="191">
        <f t="shared" ref="I39:I44" si="21">$E$21*I28</f>
        <v>0</v>
      </c>
      <c r="J39" s="191">
        <f t="shared" ref="J39:J44" si="22">$E$22*K28</f>
        <v>267754.57345265872</v>
      </c>
      <c r="K39" s="192">
        <f t="shared" ref="K39:K44" si="23">ROUND(SUM(B39:J39),0)</f>
        <v>3451663</v>
      </c>
    </row>
    <row r="40" spans="1:11">
      <c r="A40" s="187" t="s">
        <v>126</v>
      </c>
      <c r="B40" s="191">
        <f t="shared" si="6"/>
        <v>158256.18030287759</v>
      </c>
      <c r="C40" s="191">
        <f t="shared" si="15"/>
        <v>0</v>
      </c>
      <c r="D40" s="191">
        <f t="shared" si="16"/>
        <v>62339.125044021072</v>
      </c>
      <c r="E40" s="191">
        <f t="shared" si="17"/>
        <v>0</v>
      </c>
      <c r="F40" s="191">
        <f t="shared" si="18"/>
        <v>4486.6006076176436</v>
      </c>
      <c r="G40" s="191">
        <f t="shared" si="19"/>
        <v>63034.93972791703</v>
      </c>
      <c r="H40" s="191">
        <f t="shared" si="20"/>
        <v>32067.268784024851</v>
      </c>
      <c r="I40" s="191">
        <f t="shared" si="21"/>
        <v>0</v>
      </c>
      <c r="J40" s="191">
        <f t="shared" si="22"/>
        <v>0</v>
      </c>
      <c r="K40" s="192">
        <f t="shared" si="23"/>
        <v>320184</v>
      </c>
    </row>
    <row r="41" spans="1:11">
      <c r="A41" s="187" t="s">
        <v>127</v>
      </c>
      <c r="B41" s="191">
        <f t="shared" si="6"/>
        <v>56306.78113202114</v>
      </c>
      <c r="C41" s="191">
        <f t="shared" si="15"/>
        <v>0</v>
      </c>
      <c r="D41" s="191">
        <f t="shared" si="16"/>
        <v>3959.6725399903371</v>
      </c>
      <c r="E41" s="191">
        <f t="shared" si="17"/>
        <v>0</v>
      </c>
      <c r="F41" s="191">
        <f t="shared" si="18"/>
        <v>646.83639353379647</v>
      </c>
      <c r="G41" s="191">
        <f t="shared" si="19"/>
        <v>20455.046666675062</v>
      </c>
      <c r="H41" s="191">
        <f t="shared" si="20"/>
        <v>14604.100919363094</v>
      </c>
      <c r="I41" s="191">
        <f t="shared" si="21"/>
        <v>0</v>
      </c>
      <c r="J41" s="191">
        <f t="shared" si="22"/>
        <v>0</v>
      </c>
      <c r="K41" s="192">
        <f t="shared" si="23"/>
        <v>95972</v>
      </c>
    </row>
    <row r="42" spans="1:11">
      <c r="A42" s="187" t="s">
        <v>128</v>
      </c>
      <c r="B42" s="191">
        <f t="shared" si="6"/>
        <v>574335.2613540974</v>
      </c>
      <c r="C42" s="191">
        <f t="shared" si="15"/>
        <v>588.57975918324269</v>
      </c>
      <c r="D42" s="191">
        <f t="shared" si="16"/>
        <v>62823.125686093685</v>
      </c>
      <c r="E42" s="191">
        <f t="shared" si="17"/>
        <v>861.95586107250062</v>
      </c>
      <c r="F42" s="191">
        <f t="shared" si="18"/>
        <v>35777.683075741334</v>
      </c>
      <c r="G42" s="191">
        <f t="shared" si="19"/>
        <v>137758.47755107697</v>
      </c>
      <c r="H42" s="191">
        <f t="shared" si="20"/>
        <v>119008.40067102601</v>
      </c>
      <c r="I42" s="191">
        <f t="shared" si="21"/>
        <v>91.466762058535593</v>
      </c>
      <c r="J42" s="191">
        <f t="shared" si="22"/>
        <v>1538.8302657058239</v>
      </c>
      <c r="K42" s="192">
        <f t="shared" si="23"/>
        <v>932784</v>
      </c>
    </row>
    <row r="43" spans="1:11">
      <c r="A43" s="187" t="s">
        <v>664</v>
      </c>
      <c r="B43" s="191">
        <f t="shared" si="6"/>
        <v>0</v>
      </c>
      <c r="C43" s="191">
        <f t="shared" si="15"/>
        <v>0</v>
      </c>
      <c r="D43" s="191">
        <f t="shared" si="16"/>
        <v>389.35137737693822</v>
      </c>
      <c r="E43" s="191">
        <f t="shared" si="17"/>
        <v>0</v>
      </c>
      <c r="F43" s="191">
        <f t="shared" si="18"/>
        <v>0</v>
      </c>
      <c r="G43" s="191">
        <f t="shared" si="19"/>
        <v>0</v>
      </c>
      <c r="H43" s="191">
        <f t="shared" si="20"/>
        <v>14247.752869923597</v>
      </c>
      <c r="I43" s="191">
        <f t="shared" si="21"/>
        <v>1111.672954249894</v>
      </c>
      <c r="J43" s="191">
        <f t="shared" si="22"/>
        <v>0</v>
      </c>
      <c r="K43" s="192">
        <f t="shared" si="23"/>
        <v>15749</v>
      </c>
    </row>
    <row r="44" spans="1:11">
      <c r="A44" s="187" t="s">
        <v>130</v>
      </c>
      <c r="B44" s="191">
        <f t="shared" si="6"/>
        <v>0</v>
      </c>
      <c r="C44" s="191">
        <f t="shared" si="15"/>
        <v>205.60473752526559</v>
      </c>
      <c r="D44" s="191">
        <f t="shared" si="16"/>
        <v>40311.127464423778</v>
      </c>
      <c r="E44" s="191">
        <f t="shared" si="17"/>
        <v>9695.2601562145283</v>
      </c>
      <c r="F44" s="191">
        <f t="shared" si="18"/>
        <v>78071.534746096862</v>
      </c>
      <c r="G44" s="191">
        <f t="shared" si="19"/>
        <v>0</v>
      </c>
      <c r="H44" s="191">
        <f t="shared" si="20"/>
        <v>91810.673811615095</v>
      </c>
      <c r="I44" s="191">
        <f t="shared" si="21"/>
        <v>0</v>
      </c>
      <c r="J44" s="191">
        <f t="shared" si="22"/>
        <v>537.54956391199755</v>
      </c>
      <c r="K44" s="192">
        <f t="shared" si="23"/>
        <v>220632</v>
      </c>
    </row>
    <row r="45" spans="1:11">
      <c r="A45" s="187" t="s">
        <v>150</v>
      </c>
      <c r="B45" s="193">
        <f t="shared" ref="B45:K45" si="24">SUM(B38:B44)</f>
        <v>3731128.6325840009</v>
      </c>
      <c r="C45" s="193">
        <f t="shared" si="24"/>
        <v>103206.33863424932</v>
      </c>
      <c r="D45" s="193">
        <f t="shared" si="24"/>
        <v>605453.5650341236</v>
      </c>
      <c r="E45" s="193">
        <f t="shared" si="24"/>
        <v>56131.864084022811</v>
      </c>
      <c r="F45" s="193">
        <f t="shared" si="24"/>
        <v>341027.69014955411</v>
      </c>
      <c r="G45" s="193">
        <f t="shared" si="24"/>
        <v>804843.46884386777</v>
      </c>
      <c r="H45" s="193">
        <f t="shared" si="24"/>
        <v>1777946.3476715963</v>
      </c>
      <c r="I45" s="193">
        <f t="shared" si="24"/>
        <v>1203.1397163084296</v>
      </c>
      <c r="J45" s="193">
        <f t="shared" si="24"/>
        <v>269830.95328227652</v>
      </c>
      <c r="K45" s="192">
        <f t="shared" si="24"/>
        <v>7690772</v>
      </c>
    </row>
    <row r="46" spans="1:11">
      <c r="I46" s="26"/>
    </row>
  </sheetData>
  <mergeCells count="24">
    <mergeCell ref="A6:D6"/>
    <mergeCell ref="A7:D7"/>
    <mergeCell ref="A8:D8"/>
    <mergeCell ref="A1:D1"/>
    <mergeCell ref="A10:D10"/>
    <mergeCell ref="A9:D9"/>
    <mergeCell ref="A2:D2"/>
    <mergeCell ref="A5:D5"/>
    <mergeCell ref="A4:D4"/>
    <mergeCell ref="A3:D3"/>
    <mergeCell ref="A11:D11"/>
    <mergeCell ref="A12:D12"/>
    <mergeCell ref="A13:D13"/>
    <mergeCell ref="A16:D16"/>
    <mergeCell ref="A15:D15"/>
    <mergeCell ref="A14:D14"/>
    <mergeCell ref="A36:D36"/>
    <mergeCell ref="A17:D17"/>
    <mergeCell ref="A18:D18"/>
    <mergeCell ref="A19:D19"/>
    <mergeCell ref="A20:D20"/>
    <mergeCell ref="A21:D21"/>
    <mergeCell ref="A24:D24"/>
    <mergeCell ref="A22:D22"/>
  </mergeCells>
  <pageMargins left="0.31496062992125984" right="0.31496062992125984" top="0.74803149606299213" bottom="0.55118110236220474" header="0.31496062992125984" footer="0.31496062992125984"/>
  <pageSetup paperSize="9" scale="69" orientation="landscape" r:id="rId1"/>
  <headerFooter scaleWithDoc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11</vt:i4>
      </vt:variant>
    </vt:vector>
  </HeadingPairs>
  <TitlesOfParts>
    <vt:vector size="28" baseType="lpstr">
      <vt:lpstr>Uvod</vt:lpstr>
      <vt:lpstr>ToDo</vt:lpstr>
      <vt:lpstr>VstupySR</vt:lpstr>
      <vt:lpstr>VstupyUPJS</vt:lpstr>
      <vt:lpstr>Sumare</vt:lpstr>
      <vt:lpstr>Rozpis</vt:lpstr>
      <vt:lpstr>07711-mzdy</vt:lpstr>
      <vt:lpstr>07711-TaS</vt:lpstr>
      <vt:lpstr>07712-mzdy</vt:lpstr>
      <vt:lpstr>07712-TaS</vt:lpstr>
      <vt:lpstr>07712-DoktStip</vt:lpstr>
      <vt:lpstr>07715-Stip</vt:lpstr>
      <vt:lpstr>VER-22</vt:lpstr>
      <vt:lpstr>Excelentne</vt:lpstr>
      <vt:lpstr>KA</vt:lpstr>
      <vt:lpstr>Granty</vt:lpstr>
      <vt:lpstr>Vykony</vt:lpstr>
      <vt:lpstr>Datum</vt:lpstr>
      <vt:lpstr>'07712-DoktStip'!Oblasť_tlače</vt:lpstr>
      <vt:lpstr>Sumare!Oblasť_tlače</vt:lpstr>
      <vt:lpstr>VstupySR!Oblasť_tlače</vt:lpstr>
      <vt:lpstr>VstupyUPJS!Oblasť_tlače</vt:lpstr>
      <vt:lpstr>Vykony!Oblasť_tlače</vt:lpstr>
      <vt:lpstr>Rok</vt:lpstr>
      <vt:lpstr>verzia</vt:lpstr>
      <vt:lpstr>výk_exc</vt:lpstr>
      <vt:lpstr>výk_interval</vt:lpstr>
      <vt:lpstr>zdroj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michal.tkac</dc:creator>
  <cp:keywords/>
  <dc:description/>
  <cp:lastModifiedBy>Bc. Andrea Jánošíková</cp:lastModifiedBy>
  <cp:revision/>
  <cp:lastPrinted>2024-02-24T20:09:45Z</cp:lastPrinted>
  <dcterms:created xsi:type="dcterms:W3CDTF">2015-12-26T09:19:00Z</dcterms:created>
  <dcterms:modified xsi:type="dcterms:W3CDTF">2025-02-26T16:09:46Z</dcterms:modified>
  <cp:category/>
  <cp:contentStatus/>
</cp:coreProperties>
</file>